
<file path=[Content_Types].xml><?xml version="1.0" encoding="utf-8"?>
<Types xmlns="http://schemas.openxmlformats.org/package/2006/content-types">
  <Default Extension="bin" ContentType="application/vnd.openxmlformats-officedocument.spreadsheetml.printerSettings"/>
  <Default Extension="glb" ContentType="model/gltf.binary"/>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codeName="{1BF75E64-36B4-4512-B9E4-3ED0869CA821}"/>
  <workbookPr codeName="Questa_cartella_di_lavoro" defaultThemeVersion="166925"/>
  <mc:AlternateContent xmlns:mc="http://schemas.openxmlformats.org/markup-compatibility/2006">
    <mc:Choice Requires="x15">
      <x15ac:absPath xmlns:x15ac="http://schemas.microsoft.com/office/spreadsheetml/2010/11/ac" url="C:\Users\MarcoG\Desktop\EXCEL\LOCK\lingue\"/>
    </mc:Choice>
  </mc:AlternateContent>
  <xr:revisionPtr revIDLastSave="0" documentId="8_{802221DD-9DFF-42AB-8565-2B3504BF624F}" xr6:coauthVersionLast="47" xr6:coauthVersionMax="47" xr10:uidLastSave="{00000000-0000-0000-0000-000000000000}"/>
  <workbookProtection workbookAlgorithmName="SHA-512" workbookHashValue="SlUucUPv7MuQVr06GwcdqgEoupF1z6V00Fap4gzeyuKjR9ybhTvfwRlwoKg4/vl5u4Z01MZSa8rS5yrn93Ryxg==" workbookSaltValue="pXWsh+lHLERC9AYH0X9B8A==" workbookSpinCount="100000" lockStructure="1"/>
  <bookViews>
    <workbookView xWindow="-120" yWindow="-120" windowWidth="29040" windowHeight="15720" tabRatio="881" xr2:uid="{00000000-000D-0000-FFFF-FFFF00000000}"/>
  </bookViews>
  <sheets>
    <sheet name="CONDITIONS" sheetId="103" r:id="rId1"/>
    <sheet name="LOCK-T" sheetId="92" r:id="rId2"/>
    <sheet name="Screws" sheetId="8" r:id="rId3"/>
    <sheet name="Data" sheetId="6" r:id="rId4"/>
    <sheet name="Foglio2" sheetId="97" state="hidden" r:id="rId5"/>
    <sheet name="Translation" sheetId="102" state="hidden" r:id="rId6"/>
    <sheet name="secondo_V_downward" sheetId="98" state="hidden" r:id="rId7"/>
    <sheet name="V_downward" sheetId="93" state="hidden" r:id="rId8"/>
    <sheet name="Lateral" sheetId="96" state="hidden" r:id="rId9"/>
    <sheet name="secondo_Lateral" sheetId="101" state="hidden" r:id="rId10"/>
    <sheet name="Uplift" sheetId="94" state="hidden" r:id="rId11"/>
    <sheet name="secondo_Uplift" sheetId="100" state="hidden" r:id="rId12"/>
    <sheet name="Axial" sheetId="95" state="hidden" r:id="rId13"/>
    <sheet name="secondo_Axial" sheetId="99" state="hidden" r:id="rId14"/>
  </sheets>
  <definedNames>
    <definedName name="a">#N/A</definedName>
    <definedName name="_xlnm.Print_Area" localSheetId="3">Data!$B$2:$H$44</definedName>
    <definedName name="_xlnm.Print_Area" localSheetId="1">'LOCK-T'!$D$2:$N$300</definedName>
    <definedName name="_xlnm.Print_Area" localSheetId="2">Screws!$B$3:$J$34</definedName>
    <definedName name="B">"#REF!"</definedName>
    <definedName name="CHIODI">#N/A</definedName>
    <definedName name="combi">INDEX(IF('LOCK-T'!$H$235='LOCK-T'!$AB$165,Foglio2!$G$34:$G$45,Foglio2!$G$34:$G$44),MATCH('LOCK-T'!$W$233,Foglio2!$F$34:$F$45,0))</definedName>
    <definedName name="Esacc">#N/A</definedName>
    <definedName name="eseacc">#N/A</definedName>
    <definedName name="h0">"#REF!"</definedName>
    <definedName name="kiodi">#N/A</definedName>
    <definedName name="klat" localSheetId="9">secondo_Lateral!$AE$6</definedName>
    <definedName name="klat">Lateral!$AE$6</definedName>
    <definedName name="LateralFix">INDEX(IF('LOCK-T'!$H$72='LOCK-T'!$AA$54,IF('LOCK-T'!$H$99=1,Foglio2!$B$1:$B$4,Foglio2!$B$49:$B$52),IF('LOCK-T'!$H$99=1,Foglio2!$B$5:$B$9,Foglio2!$B$53:$B$57)),MATCH('LOCK-T'!$H$65,Foglio2!$A$1:$A$8,0))</definedName>
    <definedName name="LAYER">#REF!</definedName>
    <definedName name="lingua">INDEX(Translation!$M$9:$M$14,MATCH('LOCK-T'!$M$34:$M$35,Translation!$L$9:$L$14,0))</definedName>
    <definedName name="LOCKTEVO">INDEX(Foglio2!$B$12:$B$13,MATCH('LOCK-T'!$H$98,Foglio2!$A$12:$A$13,0))</definedName>
    <definedName name="luce">"#REF!"</definedName>
    <definedName name="MainElement">INDEX(Foglio2!$B$5:$B$11,MATCH('LOCK-T'!$H$72,Foglio2!$A$5:$A$11,0))</definedName>
    <definedName name="nef" localSheetId="9">secondo_Lateral!$AD$6</definedName>
    <definedName name="nef">Lateral!$AD$6</definedName>
    <definedName name="Q">"#REF!"</definedName>
    <definedName name="Racc">#N/A</definedName>
    <definedName name="raggio">"#REF!"</definedName>
    <definedName name="Rcls">#N/A</definedName>
    <definedName name="SCREWS">#REF!</definedName>
    <definedName name="soluzione2">#N/A</definedName>
    <definedName name="unodue">INDEX(Foglio2!$B$29:$B$30,MATCH('LOCK-T'!$H$99,Foglio2!$A$29:$A$30,0))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7" i="92" l="1"/>
  <c r="B1" i="102"/>
  <c r="S210" i="102"/>
  <c r="H228" i="92"/>
  <c r="H215" i="92"/>
  <c r="H203" i="92"/>
  <c r="H184" i="92"/>
  <c r="AL34" i="8" l="1"/>
  <c r="AK34" i="8"/>
  <c r="AH34" i="8"/>
  <c r="AO34" i="8" s="1"/>
  <c r="AP33" i="8"/>
  <c r="AO33" i="8"/>
  <c r="AL33" i="8"/>
  <c r="AK33" i="8"/>
  <c r="AH33" i="8"/>
  <c r="AJ33" i="8" s="1"/>
  <c r="AI33" i="8" l="1"/>
  <c r="AP34" i="8"/>
  <c r="AI34" i="8"/>
  <c r="AJ34" i="8"/>
  <c r="I34" i="8" l="1"/>
  <c r="J34" i="8"/>
  <c r="J31" i="8"/>
  <c r="J32" i="8" s="1"/>
  <c r="I31" i="8"/>
  <c r="I32" i="8" s="1"/>
  <c r="C34" i="8"/>
  <c r="C33" i="8"/>
  <c r="C32" i="8"/>
  <c r="C31" i="8"/>
  <c r="C30" i="8"/>
  <c r="S2" i="102"/>
  <c r="S3" i="102"/>
  <c r="S4" i="102"/>
  <c r="S5" i="102"/>
  <c r="S6" i="102"/>
  <c r="S7" i="102"/>
  <c r="S8" i="102"/>
  <c r="S9" i="102"/>
  <c r="S10" i="102"/>
  <c r="S11" i="102"/>
  <c r="S12" i="102"/>
  <c r="S13" i="102"/>
  <c r="S14" i="102"/>
  <c r="S15" i="102"/>
  <c r="S16" i="102"/>
  <c r="S17" i="102"/>
  <c r="S18" i="102"/>
  <c r="S19" i="102"/>
  <c r="S20" i="102"/>
  <c r="S21" i="102"/>
  <c r="S22" i="102"/>
  <c r="S23" i="102"/>
  <c r="S24" i="102"/>
  <c r="S25" i="102"/>
  <c r="S26" i="102"/>
  <c r="S27" i="102"/>
  <c r="S28" i="102"/>
  <c r="S29" i="102"/>
  <c r="S30" i="102"/>
  <c r="S31" i="102"/>
  <c r="S32" i="102"/>
  <c r="S33" i="102"/>
  <c r="S34" i="102"/>
  <c r="S35" i="102"/>
  <c r="S36" i="102"/>
  <c r="S37" i="102"/>
  <c r="S38" i="102"/>
  <c r="S39" i="102"/>
  <c r="S40" i="102"/>
  <c r="S41" i="102"/>
  <c r="S42" i="102"/>
  <c r="S43" i="102"/>
  <c r="S44" i="102"/>
  <c r="S45" i="102"/>
  <c r="S46" i="102"/>
  <c r="S47" i="102"/>
  <c r="S48" i="102"/>
  <c r="S49" i="102"/>
  <c r="S50" i="102"/>
  <c r="S51" i="102"/>
  <c r="S52" i="102"/>
  <c r="S53" i="102"/>
  <c r="S54" i="102"/>
  <c r="S55" i="102"/>
  <c r="S56" i="102"/>
  <c r="S57" i="102"/>
  <c r="S58" i="102"/>
  <c r="S59" i="102"/>
  <c r="S60" i="102"/>
  <c r="S61" i="102"/>
  <c r="S62" i="102"/>
  <c r="S63" i="102"/>
  <c r="S64" i="102"/>
  <c r="S65" i="102"/>
  <c r="S66" i="102"/>
  <c r="S67" i="102"/>
  <c r="S68" i="102"/>
  <c r="S69" i="102"/>
  <c r="S70" i="102"/>
  <c r="S71" i="102"/>
  <c r="S72" i="102"/>
  <c r="S73" i="102"/>
  <c r="S74" i="102"/>
  <c r="S75" i="102"/>
  <c r="S76" i="102"/>
  <c r="S77" i="102"/>
  <c r="S78" i="102"/>
  <c r="S79" i="102"/>
  <c r="S80" i="102"/>
  <c r="S81" i="102"/>
  <c r="S82" i="102"/>
  <c r="S83" i="102"/>
  <c r="S84" i="102"/>
  <c r="S85" i="102"/>
  <c r="S86" i="102"/>
  <c r="S87" i="102"/>
  <c r="S88" i="102"/>
  <c r="S89" i="102"/>
  <c r="S90" i="102"/>
  <c r="S91" i="102"/>
  <c r="S92" i="102"/>
  <c r="S93" i="102"/>
  <c r="S94" i="102"/>
  <c r="S95" i="102"/>
  <c r="S96" i="102"/>
  <c r="S97" i="102"/>
  <c r="S98" i="102"/>
  <c r="S99" i="102"/>
  <c r="S100" i="102"/>
  <c r="S101" i="102"/>
  <c r="S102" i="102"/>
  <c r="S103" i="102"/>
  <c r="S104" i="102"/>
  <c r="S105" i="102"/>
  <c r="S106" i="102"/>
  <c r="S107" i="102"/>
  <c r="S108" i="102"/>
  <c r="S109" i="102"/>
  <c r="S110" i="102"/>
  <c r="S111" i="102"/>
  <c r="S112" i="102"/>
  <c r="S113" i="102"/>
  <c r="S114" i="102"/>
  <c r="S115" i="102"/>
  <c r="S116" i="102"/>
  <c r="S117" i="102"/>
  <c r="S118" i="102"/>
  <c r="S119" i="102"/>
  <c r="S120" i="102"/>
  <c r="S121" i="102"/>
  <c r="S122" i="102"/>
  <c r="S123" i="102"/>
  <c r="S124" i="102"/>
  <c r="S125" i="102"/>
  <c r="S126" i="102"/>
  <c r="S127" i="102"/>
  <c r="S128" i="102"/>
  <c r="S129" i="102"/>
  <c r="S130" i="102"/>
  <c r="S131" i="102"/>
  <c r="S132" i="102"/>
  <c r="S133" i="102"/>
  <c r="S134" i="102"/>
  <c r="S135" i="102"/>
  <c r="S136" i="102"/>
  <c r="S137" i="102"/>
  <c r="S138" i="102"/>
  <c r="S139" i="102"/>
  <c r="S140" i="102"/>
  <c r="S141" i="102"/>
  <c r="S142" i="102"/>
  <c r="S143" i="102"/>
  <c r="S144" i="102"/>
  <c r="S145" i="102"/>
  <c r="S146" i="102"/>
  <c r="S147" i="102"/>
  <c r="S148" i="102"/>
  <c r="S149" i="102"/>
  <c r="S150" i="102"/>
  <c r="S151" i="102"/>
  <c r="S152" i="102"/>
  <c r="S153" i="102"/>
  <c r="S154" i="102"/>
  <c r="S155" i="102"/>
  <c r="S156" i="102"/>
  <c r="S157" i="102"/>
  <c r="S158" i="102"/>
  <c r="S159" i="102"/>
  <c r="S160" i="102"/>
  <c r="S161" i="102"/>
  <c r="S162" i="102"/>
  <c r="S163" i="102"/>
  <c r="S164" i="102"/>
  <c r="S165" i="102"/>
  <c r="S166" i="102"/>
  <c r="S167" i="102"/>
  <c r="S168" i="102"/>
  <c r="S169" i="102"/>
  <c r="S170" i="102"/>
  <c r="S171" i="102"/>
  <c r="S172" i="102"/>
  <c r="S173" i="102"/>
  <c r="S174" i="102"/>
  <c r="S175" i="102"/>
  <c r="S176" i="102"/>
  <c r="S177" i="102"/>
  <c r="S178" i="102"/>
  <c r="S179" i="102"/>
  <c r="S180" i="102"/>
  <c r="S181" i="102"/>
  <c r="S182" i="102"/>
  <c r="S183" i="102"/>
  <c r="S184" i="102"/>
  <c r="S185" i="102"/>
  <c r="S186" i="102"/>
  <c r="S187" i="102"/>
  <c r="S188" i="102"/>
  <c r="S189" i="102"/>
  <c r="S190" i="102"/>
  <c r="S191" i="102"/>
  <c r="S192" i="102"/>
  <c r="S193" i="102"/>
  <c r="S194" i="102"/>
  <c r="S195" i="102"/>
  <c r="S196" i="102"/>
  <c r="S197" i="102"/>
  <c r="S198" i="102"/>
  <c r="S199" i="102"/>
  <c r="S200" i="102"/>
  <c r="S201" i="102"/>
  <c r="S202" i="102"/>
  <c r="S203" i="102"/>
  <c r="S204" i="102"/>
  <c r="S205" i="102"/>
  <c r="S206" i="102"/>
  <c r="S207" i="102"/>
  <c r="S208" i="102"/>
  <c r="S209" i="102"/>
  <c r="M13" i="96" l="1"/>
  <c r="B13" i="102" l="1"/>
  <c r="G4" i="8" s="1"/>
  <c r="B209" i="102"/>
  <c r="B210" i="102"/>
  <c r="F67" i="92" s="1"/>
  <c r="B207" i="102"/>
  <c r="I83" i="92" s="1"/>
  <c r="B208" i="102"/>
  <c r="B5" i="102"/>
  <c r="AA54" i="92" s="1"/>
  <c r="B202" i="102"/>
  <c r="E256" i="92" s="1"/>
  <c r="B194" i="102"/>
  <c r="H248" i="92" s="1"/>
  <c r="B186" i="102"/>
  <c r="E237" i="92" s="1"/>
  <c r="B178" i="102"/>
  <c r="E222" i="92" s="1"/>
  <c r="B170" i="102"/>
  <c r="E209" i="92" s="1"/>
  <c r="B162" i="102"/>
  <c r="E196" i="92" s="1"/>
  <c r="B154" i="102"/>
  <c r="E182" i="92" s="1"/>
  <c r="B146" i="102"/>
  <c r="E171" i="92" s="1"/>
  <c r="B138" i="102"/>
  <c r="E49" i="92" s="1"/>
  <c r="B130" i="102"/>
  <c r="B122" i="102"/>
  <c r="E45" i="92" s="1"/>
  <c r="B114" i="102"/>
  <c r="E147" i="92" s="1"/>
  <c r="B106" i="102"/>
  <c r="E135" i="92" s="1"/>
  <c r="B98" i="102"/>
  <c r="E127" i="92" s="1"/>
  <c r="B90" i="102"/>
  <c r="E118" i="92" s="1"/>
  <c r="B82" i="102"/>
  <c r="B74" i="102"/>
  <c r="E103" i="92" s="1"/>
  <c r="B66" i="102"/>
  <c r="I88" i="92" s="1"/>
  <c r="B58" i="102"/>
  <c r="E86" i="92" s="1"/>
  <c r="B50" i="102"/>
  <c r="E78" i="92" s="1"/>
  <c r="B42" i="102"/>
  <c r="B34" i="102"/>
  <c r="B26" i="102"/>
  <c r="E35" i="92" s="1"/>
  <c r="B18" i="102"/>
  <c r="E3" i="92" s="1"/>
  <c r="B7" i="102"/>
  <c r="B180" i="102"/>
  <c r="E224" i="92" s="1"/>
  <c r="B132" i="102"/>
  <c r="B92" i="102"/>
  <c r="E120" i="92" s="1"/>
  <c r="B60" i="102"/>
  <c r="B20" i="102"/>
  <c r="E5" i="92" s="1"/>
  <c r="B187" i="102"/>
  <c r="E238" i="92" s="1"/>
  <c r="B155" i="102"/>
  <c r="E183" i="92" s="1"/>
  <c r="B107" i="102"/>
  <c r="E65" i="92" s="1"/>
  <c r="B75" i="102"/>
  <c r="E104" i="92" s="1"/>
  <c r="B35" i="102"/>
  <c r="B193" i="102"/>
  <c r="E246" i="92" s="1"/>
  <c r="B145" i="102"/>
  <c r="E170" i="92" s="1"/>
  <c r="B121" i="102"/>
  <c r="E43" i="92" s="1"/>
  <c r="B105" i="102"/>
  <c r="E134" i="92" s="1"/>
  <c r="B97" i="102"/>
  <c r="E126" i="92" s="1"/>
  <c r="B89" i="102"/>
  <c r="E117" i="92" s="1"/>
  <c r="B81" i="102"/>
  <c r="B65" i="102"/>
  <c r="E93" i="92" s="1"/>
  <c r="B57" i="102"/>
  <c r="B49" i="102"/>
  <c r="E77" i="92" s="1"/>
  <c r="B41" i="102"/>
  <c r="B33" i="102"/>
  <c r="B25" i="102"/>
  <c r="E34" i="92" s="1"/>
  <c r="B17" i="102"/>
  <c r="E2" i="92" s="1"/>
  <c r="B196" i="102"/>
  <c r="B156" i="102"/>
  <c r="E185" i="92" s="1"/>
  <c r="B116" i="102"/>
  <c r="E149" i="92" s="1"/>
  <c r="B76" i="102"/>
  <c r="E105" i="92" s="1"/>
  <c r="B44" i="102"/>
  <c r="E72" i="92" s="1"/>
  <c r="B195" i="102"/>
  <c r="I248" i="92" s="1"/>
  <c r="B147" i="102"/>
  <c r="E172" i="92" s="1"/>
  <c r="B115" i="102"/>
  <c r="E148" i="92" s="1"/>
  <c r="B83" i="102"/>
  <c r="K108" i="92" s="1"/>
  <c r="B51" i="102"/>
  <c r="E79" i="92" s="1"/>
  <c r="B2" i="102"/>
  <c r="AC165" i="92" s="1"/>
  <c r="B177" i="102"/>
  <c r="E221" i="92" s="1"/>
  <c r="B137" i="102"/>
  <c r="B26" i="97" s="1"/>
  <c r="B73" i="102"/>
  <c r="E102" i="92" s="1"/>
  <c r="B11" i="102"/>
  <c r="B4" i="8" s="1"/>
  <c r="B3" i="102"/>
  <c r="AB165" i="92" s="1"/>
  <c r="S69" i="92" s="1"/>
  <c r="B200" i="102"/>
  <c r="E253" i="92" s="1"/>
  <c r="B192" i="102"/>
  <c r="E244" i="92" s="1"/>
  <c r="B184" i="102"/>
  <c r="E233" i="92" s="1"/>
  <c r="B176" i="102"/>
  <c r="E219" i="92" s="1"/>
  <c r="B168" i="102"/>
  <c r="E204" i="92" s="1"/>
  <c r="B160" i="102"/>
  <c r="E192" i="92" s="1"/>
  <c r="B152" i="102"/>
  <c r="E179" i="92" s="1"/>
  <c r="B144" i="102"/>
  <c r="E169" i="92" s="1"/>
  <c r="B136" i="102"/>
  <c r="B25" i="97" s="1"/>
  <c r="B128" i="102"/>
  <c r="B120" i="102"/>
  <c r="E153" i="92" s="1"/>
  <c r="B112" i="102"/>
  <c r="E145" i="92" s="1"/>
  <c r="B104" i="102"/>
  <c r="E133" i="92" s="1"/>
  <c r="B96" i="102"/>
  <c r="K126" i="92" s="1"/>
  <c r="B88" i="102"/>
  <c r="E116" i="92" s="1"/>
  <c r="B80" i="102"/>
  <c r="E109" i="92" s="1"/>
  <c r="B72" i="102"/>
  <c r="E101" i="92" s="1"/>
  <c r="B64" i="102"/>
  <c r="E92" i="92" s="1"/>
  <c r="B56" i="102"/>
  <c r="E84" i="92" s="1"/>
  <c r="B48" i="102"/>
  <c r="E76" i="92" s="1"/>
  <c r="B40" i="102"/>
  <c r="B32" i="102"/>
  <c r="E54" i="92" s="1"/>
  <c r="B24" i="102"/>
  <c r="E32" i="92" s="1"/>
  <c r="B16" i="102"/>
  <c r="B42" i="6" s="1"/>
  <c r="B172" i="102"/>
  <c r="E211" i="92" s="1"/>
  <c r="B140" i="102"/>
  <c r="E51" i="92" s="1"/>
  <c r="B100" i="102"/>
  <c r="E129" i="92" s="1"/>
  <c r="B52" i="102"/>
  <c r="B28" i="102"/>
  <c r="E37" i="92" s="1"/>
  <c r="B203" i="102"/>
  <c r="E280" i="92" s="1"/>
  <c r="B163" i="102"/>
  <c r="E197" i="92" s="1"/>
  <c r="B131" i="102"/>
  <c r="B99" i="102"/>
  <c r="E128" i="92" s="1"/>
  <c r="B59" i="102"/>
  <c r="I85" i="92" s="1"/>
  <c r="B43" i="102"/>
  <c r="E71" i="92" s="1"/>
  <c r="B4" i="102"/>
  <c r="AA53" i="92" s="1"/>
  <c r="B153" i="102"/>
  <c r="E180" i="92" s="1"/>
  <c r="B183" i="102"/>
  <c r="E229" i="92" s="1"/>
  <c r="B151" i="102"/>
  <c r="E178" i="92" s="1"/>
  <c r="B127" i="102"/>
  <c r="B19" i="97" s="1"/>
  <c r="B103" i="102"/>
  <c r="E132" i="92" s="1"/>
  <c r="B87" i="102"/>
  <c r="E115" i="92" s="1"/>
  <c r="B71" i="102"/>
  <c r="K97" i="92" s="1"/>
  <c r="B63" i="102"/>
  <c r="E91" i="92" s="1"/>
  <c r="B47" i="102"/>
  <c r="E75" i="92" s="1"/>
  <c r="B39" i="102"/>
  <c r="B31" i="102"/>
  <c r="E41" i="92" s="1"/>
  <c r="B23" i="102"/>
  <c r="D12" i="92" s="1"/>
  <c r="B15" i="102"/>
  <c r="B2" i="6" s="1"/>
  <c r="B188" i="102"/>
  <c r="E239" i="92" s="1"/>
  <c r="B148" i="102"/>
  <c r="E173" i="92" s="1"/>
  <c r="B108" i="102"/>
  <c r="E138" i="92" s="1"/>
  <c r="B6" i="102"/>
  <c r="AB59" i="92" s="1"/>
  <c r="B171" i="102"/>
  <c r="E210" i="92" s="1"/>
  <c r="B123" i="102"/>
  <c r="E46" i="92" s="1"/>
  <c r="B67" i="102"/>
  <c r="E95" i="92" s="1"/>
  <c r="B27" i="102"/>
  <c r="E36" i="92" s="1"/>
  <c r="B201" i="102"/>
  <c r="E254" i="92" s="1"/>
  <c r="B169" i="102"/>
  <c r="E207" i="92" s="1"/>
  <c r="B113" i="102"/>
  <c r="E146" i="92" s="1"/>
  <c r="B12" i="102"/>
  <c r="E4" i="8" s="1"/>
  <c r="B191" i="102"/>
  <c r="B167" i="102"/>
  <c r="E202" i="92" s="1"/>
  <c r="B135" i="102"/>
  <c r="B24" i="97" s="1"/>
  <c r="B79" i="102"/>
  <c r="E108" i="92" s="1"/>
  <c r="B198" i="102"/>
  <c r="E250" i="92" s="1"/>
  <c r="B182" i="102"/>
  <c r="E227" i="92" s="1"/>
  <c r="B166" i="102"/>
  <c r="E201" i="92" s="1"/>
  <c r="B158" i="102"/>
  <c r="E190" i="92" s="1"/>
  <c r="B150" i="102"/>
  <c r="E177" i="92" s="1"/>
  <c r="B142" i="102"/>
  <c r="E157" i="92" s="1"/>
  <c r="B134" i="102"/>
  <c r="B23" i="97" s="1"/>
  <c r="B126" i="102"/>
  <c r="B18" i="97" s="1"/>
  <c r="B118" i="102"/>
  <c r="E151" i="92" s="1"/>
  <c r="B110" i="102"/>
  <c r="E142" i="92" s="1"/>
  <c r="B102" i="102"/>
  <c r="E131" i="92" s="1"/>
  <c r="B94" i="102"/>
  <c r="E122" i="92" s="1"/>
  <c r="B86" i="102"/>
  <c r="E114" i="92" s="1"/>
  <c r="B78" i="102"/>
  <c r="E107" i="92" s="1"/>
  <c r="B70" i="102"/>
  <c r="E99" i="92" s="1"/>
  <c r="B62" i="102"/>
  <c r="E90" i="92" s="1"/>
  <c r="B54" i="102"/>
  <c r="E81" i="92" s="1"/>
  <c r="B46" i="102"/>
  <c r="B38" i="102"/>
  <c r="E67" i="92" s="1"/>
  <c r="B30" i="102"/>
  <c r="E40" i="92" s="1"/>
  <c r="B22" i="102"/>
  <c r="I4" i="92" s="1"/>
  <c r="B14" i="102"/>
  <c r="H4" i="8" s="1"/>
  <c r="B204" i="102"/>
  <c r="E291" i="92" s="1"/>
  <c r="B164" i="102"/>
  <c r="E198" i="92" s="1"/>
  <c r="B124" i="102"/>
  <c r="E47" i="92" s="1"/>
  <c r="B84" i="102"/>
  <c r="E111" i="92" s="1"/>
  <c r="B68" i="102"/>
  <c r="E97" i="92" s="1"/>
  <c r="B36" i="102"/>
  <c r="B179" i="102"/>
  <c r="E223" i="92" s="1"/>
  <c r="B139" i="102"/>
  <c r="E50" i="92" s="1"/>
  <c r="B91" i="102"/>
  <c r="E119" i="92" s="1"/>
  <c r="B19" i="102"/>
  <c r="E4" i="92" s="1"/>
  <c r="B185" i="102"/>
  <c r="E235" i="92" s="1"/>
  <c r="B161" i="102"/>
  <c r="E194" i="92" s="1"/>
  <c r="B129" i="102"/>
  <c r="B10" i="102"/>
  <c r="B3" i="8" s="1"/>
  <c r="B199" i="102"/>
  <c r="E252" i="92" s="1"/>
  <c r="B175" i="102"/>
  <c r="E216" i="92" s="1"/>
  <c r="B159" i="102"/>
  <c r="E191" i="92" s="1"/>
  <c r="B143" i="102"/>
  <c r="E167" i="92" s="1"/>
  <c r="B119" i="102"/>
  <c r="E152" i="92" s="1"/>
  <c r="B111" i="102"/>
  <c r="E144" i="92" s="1"/>
  <c r="B95" i="102"/>
  <c r="E124" i="92" s="1"/>
  <c r="B55" i="102"/>
  <c r="B9" i="102"/>
  <c r="B206" i="102"/>
  <c r="E293" i="92" s="1"/>
  <c r="B190" i="102"/>
  <c r="E242" i="92" s="1"/>
  <c r="B174" i="102"/>
  <c r="E214" i="92" s="1"/>
  <c r="B8" i="102"/>
  <c r="B205" i="102"/>
  <c r="E292" i="92" s="1"/>
  <c r="B197" i="102"/>
  <c r="E249" i="92" s="1"/>
  <c r="B189" i="102"/>
  <c r="E240" i="92" s="1"/>
  <c r="B181" i="102"/>
  <c r="E226" i="92" s="1"/>
  <c r="B173" i="102"/>
  <c r="E213" i="92" s="1"/>
  <c r="B165" i="102"/>
  <c r="E199" i="92" s="1"/>
  <c r="B157" i="102"/>
  <c r="E188" i="92" s="1"/>
  <c r="B149" i="102"/>
  <c r="E175" i="92" s="1"/>
  <c r="B141" i="102"/>
  <c r="E155" i="92" s="1"/>
  <c r="B133" i="102"/>
  <c r="B22" i="97" s="1"/>
  <c r="B125" i="102"/>
  <c r="B17" i="97" s="1"/>
  <c r="B117" i="102"/>
  <c r="E150" i="92" s="1"/>
  <c r="B109" i="102"/>
  <c r="E141" i="92" s="1"/>
  <c r="B101" i="102"/>
  <c r="E130" i="92" s="1"/>
  <c r="B93" i="102"/>
  <c r="E121" i="92" s="1"/>
  <c r="B85" i="102"/>
  <c r="E113" i="92" s="1"/>
  <c r="B77" i="102"/>
  <c r="E106" i="92" s="1"/>
  <c r="B69" i="102"/>
  <c r="E98" i="92" s="1"/>
  <c r="B61" i="102"/>
  <c r="E89" i="92" s="1"/>
  <c r="B53" i="102"/>
  <c r="B45" i="102"/>
  <c r="B37" i="102"/>
  <c r="E62" i="92" s="1"/>
  <c r="B29" i="102"/>
  <c r="E39" i="92" s="1"/>
  <c r="B21" i="102"/>
  <c r="I3" i="92" s="1"/>
  <c r="J250" i="92"/>
  <c r="I256" i="92"/>
  <c r="J256" i="92"/>
  <c r="H256" i="92"/>
  <c r="I250" i="92"/>
  <c r="I249" i="92"/>
  <c r="S65" i="92" l="1"/>
  <c r="F70" i="92"/>
  <c r="S66" i="92"/>
  <c r="E83" i="92"/>
  <c r="E85" i="92"/>
  <c r="F69" i="92"/>
  <c r="E58" i="92"/>
  <c r="E215" i="92"/>
  <c r="E59" i="92"/>
  <c r="E228" i="92"/>
  <c r="E57" i="92"/>
  <c r="E203" i="92"/>
  <c r="E56" i="92"/>
  <c r="E184" i="92"/>
  <c r="W233" i="92"/>
  <c r="I69" i="92"/>
  <c r="A26" i="97"/>
  <c r="AF181" i="92"/>
  <c r="AB181" i="92"/>
  <c r="A22" i="97"/>
  <c r="AD181" i="92"/>
  <c r="A24" i="97"/>
  <c r="BM9" i="96"/>
  <c r="BD9" i="96"/>
  <c r="BD9" i="101"/>
  <c r="AE61" i="92"/>
  <c r="A2" i="97" s="1"/>
  <c r="AB61" i="92"/>
  <c r="A6" i="97" s="1"/>
  <c r="A25" i="97"/>
  <c r="AE181" i="92"/>
  <c r="A13" i="97"/>
  <c r="AB60" i="92"/>
  <c r="BM7" i="96"/>
  <c r="BD7" i="101"/>
  <c r="BD7" i="96"/>
  <c r="A11" i="97"/>
  <c r="I74" i="92"/>
  <c r="BM10" i="96"/>
  <c r="AB62" i="92"/>
  <c r="AA100" i="92" s="1"/>
  <c r="AE62" i="92"/>
  <c r="A4" i="97" s="1"/>
  <c r="BD10" i="101"/>
  <c r="BD10" i="96"/>
  <c r="BD8" i="96"/>
  <c r="BM8" i="96"/>
  <c r="BD8" i="101"/>
  <c r="AE60" i="92"/>
  <c r="A1" i="97" s="1"/>
  <c r="E70" i="92"/>
  <c r="E69" i="92"/>
  <c r="AQ83" i="101"/>
  <c r="AN6" i="94"/>
  <c r="AQ83" i="96"/>
  <c r="A10" i="97"/>
  <c r="AN6" i="100"/>
  <c r="AC181" i="92"/>
  <c r="A23" i="97"/>
  <c r="I235" i="92"/>
  <c r="A12" i="97"/>
  <c r="R71" i="92" s="1"/>
  <c r="H100" i="92"/>
  <c r="K105" i="92" s="1"/>
  <c r="Z238" i="92"/>
  <c r="Z239" i="92"/>
  <c r="Z240" i="92"/>
  <c r="Z237" i="92"/>
  <c r="Z241" i="92" s="1"/>
  <c r="F33" i="6"/>
  <c r="F34" i="6"/>
  <c r="M114" i="101"/>
  <c r="R109" i="101" s="1"/>
  <c r="M90" i="101"/>
  <c r="R85" i="101" s="1"/>
  <c r="M13" i="101"/>
  <c r="R8" i="101" s="1"/>
  <c r="R109" i="96"/>
  <c r="M114" i="96"/>
  <c r="R107" i="96" s="1"/>
  <c r="M90" i="96"/>
  <c r="R83" i="96" s="1"/>
  <c r="R8" i="96"/>
  <c r="S68" i="92" l="1"/>
  <c r="AB69" i="92" a="1"/>
  <c r="AB69" i="92" s="1"/>
  <c r="A5" i="97"/>
  <c r="A8" i="97"/>
  <c r="AG31" i="94"/>
  <c r="R107" i="101"/>
  <c r="R6" i="101"/>
  <c r="R83" i="101"/>
  <c r="R6" i="96"/>
  <c r="R85" i="96"/>
  <c r="R70" i="92" l="1"/>
  <c r="R62" i="92"/>
  <c r="D9" i="97"/>
  <c r="L11" i="93"/>
  <c r="Q6" i="93" s="1"/>
  <c r="L13" i="100"/>
  <c r="L13" i="99"/>
  <c r="Q6" i="99" s="1"/>
  <c r="L13" i="95"/>
  <c r="Q6" i="95" s="1"/>
  <c r="L13" i="94"/>
  <c r="L11" i="98"/>
  <c r="Q6" i="98" s="1"/>
  <c r="H88" i="92"/>
  <c r="E88" i="92" s="1"/>
  <c r="H74" i="92"/>
  <c r="E74" i="92" s="1"/>
  <c r="H75" i="92" l="1"/>
  <c r="H91" i="92"/>
  <c r="H90" i="92"/>
  <c r="H92" i="92"/>
  <c r="H89" i="92"/>
  <c r="H93" i="92"/>
  <c r="H79" i="92"/>
  <c r="H78" i="92"/>
  <c r="H77" i="92"/>
  <c r="H76" i="92"/>
  <c r="Q6" i="94"/>
  <c r="Q8" i="94"/>
  <c r="Q6" i="100"/>
  <c r="Q8" i="100"/>
  <c r="H223" i="92"/>
  <c r="C89" i="101" l="1"/>
  <c r="D89" i="101" s="1"/>
  <c r="C113" i="101"/>
  <c r="C38" i="101"/>
  <c r="C12" i="101"/>
  <c r="D15" i="101" s="1"/>
  <c r="W109" i="101"/>
  <c r="BE107" i="101"/>
  <c r="AU107" i="101"/>
  <c r="AH107" i="101"/>
  <c r="AG107" i="101"/>
  <c r="J107" i="101"/>
  <c r="I107" i="101"/>
  <c r="C107" i="101"/>
  <c r="W85" i="101"/>
  <c r="AU83" i="101"/>
  <c r="AH83" i="101"/>
  <c r="AG83" i="101"/>
  <c r="AP83" i="101" s="1"/>
  <c r="J83" i="101"/>
  <c r="I83" i="101"/>
  <c r="C83" i="101"/>
  <c r="AP32" i="101"/>
  <c r="AH32" i="101"/>
  <c r="AG32" i="101"/>
  <c r="AU32" i="101" s="1"/>
  <c r="V32" i="101"/>
  <c r="J32" i="101"/>
  <c r="I32" i="101"/>
  <c r="C32" i="101"/>
  <c r="W8" i="101"/>
  <c r="AP6" i="101"/>
  <c r="AH6" i="101"/>
  <c r="AG6" i="101"/>
  <c r="J6" i="101"/>
  <c r="I6" i="101"/>
  <c r="C6" i="101"/>
  <c r="J109" i="101" l="1"/>
  <c r="AQ32" i="101"/>
  <c r="AL32" i="101"/>
  <c r="AK32" i="101"/>
  <c r="AS32" i="101"/>
  <c r="T6" i="101"/>
  <c r="T8" i="101" s="1"/>
  <c r="Q6" i="101"/>
  <c r="T107" i="101"/>
  <c r="T109" i="101" s="1"/>
  <c r="Q107" i="101"/>
  <c r="X83" i="101"/>
  <c r="X85" i="101" s="1"/>
  <c r="Q83" i="101"/>
  <c r="AQ6" i="101"/>
  <c r="AL6" i="101"/>
  <c r="AK6" i="101"/>
  <c r="AJ8" i="101"/>
  <c r="Y32" i="101"/>
  <c r="Q32" i="101"/>
  <c r="AV107" i="101"/>
  <c r="AP107" i="101"/>
  <c r="AW83" i="101"/>
  <c r="AW107" i="101"/>
  <c r="Y107" i="101"/>
  <c r="Y109" i="101" s="1"/>
  <c r="U6" i="101"/>
  <c r="E107" i="101"/>
  <c r="Y6" i="101"/>
  <c r="Y8" i="101" s="1"/>
  <c r="AI83" i="101"/>
  <c r="AX86" i="101" s="1"/>
  <c r="D41" i="101"/>
  <c r="I8" i="101"/>
  <c r="X6" i="101"/>
  <c r="X8" i="101" s="1"/>
  <c r="AS83" i="101"/>
  <c r="Y83" i="101"/>
  <c r="Y85" i="101" s="1"/>
  <c r="U107" i="101"/>
  <c r="U109" i="101" s="1"/>
  <c r="D116" i="101"/>
  <c r="X107" i="101"/>
  <c r="X109" i="101" s="1"/>
  <c r="J8" i="101"/>
  <c r="AK90" i="101"/>
  <c r="I85" i="101"/>
  <c r="T32" i="101"/>
  <c r="AT83" i="101"/>
  <c r="J85" i="101"/>
  <c r="AS107" i="101"/>
  <c r="I109" i="101"/>
  <c r="U32" i="101"/>
  <c r="T83" i="101"/>
  <c r="E32" i="101"/>
  <c r="U83" i="101"/>
  <c r="U85" i="101" s="1"/>
  <c r="AV83" i="101"/>
  <c r="AT107" i="101"/>
  <c r="X32" i="101"/>
  <c r="E83" i="101"/>
  <c r="E6" i="101"/>
  <c r="I98" i="92"/>
  <c r="V109" i="101" l="1"/>
  <c r="I100" i="92"/>
  <c r="K106" i="92" s="1"/>
  <c r="T85" i="101"/>
  <c r="V85" i="101" s="1"/>
  <c r="V83" i="101"/>
  <c r="U8" i="101"/>
  <c r="V8" i="101" s="1"/>
  <c r="V6" i="101"/>
  <c r="V107" i="101"/>
  <c r="Q109" i="101"/>
  <c r="Q8" i="101"/>
  <c r="Q85" i="101"/>
  <c r="I142" i="92"/>
  <c r="AG29" i="94"/>
  <c r="BA16" i="6" l="1"/>
  <c r="BD2" i="6"/>
  <c r="BA15" i="6"/>
  <c r="BA14" i="6"/>
  <c r="BA13" i="6"/>
  <c r="BA12" i="6"/>
  <c r="BA11" i="6"/>
  <c r="BA10" i="6"/>
  <c r="BA9" i="6"/>
  <c r="BA8" i="6"/>
  <c r="BA7" i="6"/>
  <c r="BA6" i="6"/>
  <c r="BA5" i="6"/>
  <c r="BA4" i="6"/>
  <c r="B6" i="99" l="1"/>
  <c r="B6" i="100"/>
  <c r="D6" i="100" s="1"/>
  <c r="AH13" i="100"/>
  <c r="AD6" i="100"/>
  <c r="H6" i="100"/>
  <c r="P6" i="100" s="1"/>
  <c r="AQ6" i="99"/>
  <c r="AC6" i="99"/>
  <c r="H6" i="99"/>
  <c r="I111" i="92"/>
  <c r="AE6" i="98" s="1"/>
  <c r="B6" i="98"/>
  <c r="D6" i="98" s="1"/>
  <c r="I141" i="92"/>
  <c r="AE6" i="100" s="1"/>
  <c r="I124" i="92"/>
  <c r="AR6" i="98"/>
  <c r="AD6" i="98"/>
  <c r="H6" i="98"/>
  <c r="H50" i="92"/>
  <c r="AM6" i="98" l="1"/>
  <c r="S6" i="99"/>
  <c r="P6" i="99"/>
  <c r="T6" i="98"/>
  <c r="P6" i="98"/>
  <c r="AP6" i="100"/>
  <c r="AM6" i="100"/>
  <c r="AS6" i="99"/>
  <c r="AL6" i="99"/>
  <c r="I6" i="98"/>
  <c r="I6" i="100"/>
  <c r="I6" i="99"/>
  <c r="AD6" i="99"/>
  <c r="AQ6" i="100"/>
  <c r="AR6" i="100"/>
  <c r="S6" i="100"/>
  <c r="AS6" i="100"/>
  <c r="T6" i="100"/>
  <c r="AT6" i="100"/>
  <c r="X6" i="100"/>
  <c r="H8" i="100"/>
  <c r="W6" i="100"/>
  <c r="T6" i="99"/>
  <c r="D6" i="99"/>
  <c r="W6" i="99"/>
  <c r="AO6" i="99"/>
  <c r="X6" i="99"/>
  <c r="AP6" i="99"/>
  <c r="AR6" i="99"/>
  <c r="AT6" i="98"/>
  <c r="W6" i="98"/>
  <c r="X6" i="98"/>
  <c r="AP6" i="98"/>
  <c r="S6" i="98"/>
  <c r="AQ6" i="98"/>
  <c r="AS6" i="98"/>
  <c r="F34" i="92"/>
  <c r="I8" i="100" l="1"/>
  <c r="U6" i="98"/>
  <c r="U6" i="99"/>
  <c r="U6" i="100"/>
  <c r="P8" i="100"/>
  <c r="X8" i="100"/>
  <c r="W8" i="100"/>
  <c r="T8" i="100"/>
  <c r="S8" i="100"/>
  <c r="U8" i="100" l="1"/>
  <c r="AL7" i="8"/>
  <c r="AL8" i="8"/>
  <c r="AL9" i="8"/>
  <c r="AL10" i="8"/>
  <c r="AL11" i="8"/>
  <c r="AL12" i="8"/>
  <c r="AL13" i="8"/>
  <c r="AL14" i="8"/>
  <c r="AL15" i="8"/>
  <c r="AL16" i="8"/>
  <c r="AL17" i="8"/>
  <c r="AL18" i="8"/>
  <c r="AL19" i="8"/>
  <c r="AL20" i="8"/>
  <c r="AL21" i="8"/>
  <c r="AL22" i="8"/>
  <c r="AL23" i="8"/>
  <c r="AL24" i="8"/>
  <c r="AL25" i="8"/>
  <c r="AL26" i="8"/>
  <c r="AL27" i="8"/>
  <c r="AL28" i="8"/>
  <c r="AL29" i="8"/>
  <c r="AL6" i="8"/>
  <c r="AK7" i="8"/>
  <c r="AK8" i="8"/>
  <c r="AK9" i="8"/>
  <c r="AK10" i="8"/>
  <c r="AK11" i="8"/>
  <c r="AK12" i="8"/>
  <c r="AK13" i="8"/>
  <c r="AK14" i="8"/>
  <c r="AK15" i="8"/>
  <c r="AK16" i="8"/>
  <c r="AK17" i="8"/>
  <c r="AK18" i="8"/>
  <c r="AK19" i="8"/>
  <c r="AK20" i="8"/>
  <c r="AK21" i="8"/>
  <c r="AK22" i="8"/>
  <c r="AK23" i="8"/>
  <c r="AK24" i="8"/>
  <c r="AK25" i="8"/>
  <c r="AK26" i="8"/>
  <c r="AK27" i="8"/>
  <c r="AK28" i="8"/>
  <c r="AK29" i="8"/>
  <c r="AK6" i="8"/>
  <c r="AH7" i="8"/>
  <c r="AP7" i="8" s="1"/>
  <c r="AH8" i="8"/>
  <c r="AP8" i="8" s="1"/>
  <c r="AH9" i="8"/>
  <c r="AP9" i="8" s="1"/>
  <c r="AH10" i="8"/>
  <c r="AP10" i="8" s="1"/>
  <c r="AH11" i="8"/>
  <c r="AP11" i="8" s="1"/>
  <c r="AH12" i="8"/>
  <c r="AP12" i="8" s="1"/>
  <c r="AH13" i="8"/>
  <c r="AP13" i="8" s="1"/>
  <c r="AH14" i="8"/>
  <c r="AP14" i="8" s="1"/>
  <c r="AH15" i="8"/>
  <c r="AP15" i="8" s="1"/>
  <c r="AH16" i="8"/>
  <c r="AP16" i="8" s="1"/>
  <c r="AH17" i="8"/>
  <c r="AP17" i="8" s="1"/>
  <c r="AH18" i="8"/>
  <c r="AP18" i="8" s="1"/>
  <c r="AH19" i="8"/>
  <c r="AP19" i="8" s="1"/>
  <c r="AH20" i="8"/>
  <c r="AP20" i="8" s="1"/>
  <c r="AH21" i="8"/>
  <c r="AP21" i="8" s="1"/>
  <c r="AH22" i="8"/>
  <c r="AP22" i="8" s="1"/>
  <c r="AH23" i="8"/>
  <c r="AP23" i="8" s="1"/>
  <c r="AH24" i="8"/>
  <c r="AP24" i="8" s="1"/>
  <c r="AH25" i="8"/>
  <c r="AP25" i="8" s="1"/>
  <c r="AH26" i="8"/>
  <c r="AP26" i="8" s="1"/>
  <c r="AH27" i="8"/>
  <c r="AP27" i="8" s="1"/>
  <c r="AH28" i="8"/>
  <c r="AP28" i="8" s="1"/>
  <c r="AH29" i="8"/>
  <c r="AP29" i="8" s="1"/>
  <c r="AH6" i="8"/>
  <c r="AP6" i="8" s="1"/>
  <c r="I45" i="92"/>
  <c r="I46" i="92"/>
  <c r="AA24" i="6"/>
  <c r="AA23" i="6"/>
  <c r="AA5" i="6"/>
  <c r="AA6" i="6"/>
  <c r="AA7" i="6"/>
  <c r="AA8" i="6"/>
  <c r="AA9" i="6"/>
  <c r="AA10" i="6"/>
  <c r="AA11" i="6"/>
  <c r="AA12" i="6"/>
  <c r="AA13" i="6"/>
  <c r="AA14" i="6"/>
  <c r="AA15" i="6"/>
  <c r="AA16" i="6"/>
  <c r="AA17" i="6"/>
  <c r="AA18" i="6"/>
  <c r="AA19" i="6"/>
  <c r="AA20" i="6"/>
  <c r="AA21" i="6"/>
  <c r="AA22" i="6"/>
  <c r="AA4" i="6"/>
  <c r="R24" i="6"/>
  <c r="R23" i="6"/>
  <c r="Z5" i="6"/>
  <c r="Z6" i="6"/>
  <c r="Z7" i="6"/>
  <c r="Z8" i="6"/>
  <c r="Z9" i="6"/>
  <c r="Z10" i="6"/>
  <c r="Z11" i="6"/>
  <c r="Z12" i="6"/>
  <c r="Z13" i="6"/>
  <c r="Z14" i="6"/>
  <c r="Z15" i="6"/>
  <c r="Z16" i="6"/>
  <c r="Z17" i="6"/>
  <c r="Z18" i="6"/>
  <c r="Z19" i="6"/>
  <c r="Z20" i="6"/>
  <c r="Z21" i="6"/>
  <c r="Z22" i="6"/>
  <c r="Z23" i="6"/>
  <c r="Z24" i="6"/>
  <c r="Z4" i="6"/>
  <c r="J249" i="92" l="1"/>
  <c r="H101" i="92"/>
  <c r="H249" i="92" s="1"/>
  <c r="H108" i="92"/>
  <c r="I108" i="92"/>
  <c r="H32" i="101"/>
  <c r="H83" i="101"/>
  <c r="H85" i="101" s="1"/>
  <c r="H107" i="101"/>
  <c r="H109" i="101" s="1"/>
  <c r="H6" i="101"/>
  <c r="H8" i="101" s="1"/>
  <c r="I101" i="92"/>
  <c r="H250" i="92" s="1"/>
  <c r="AI19" i="8"/>
  <c r="AO15" i="8"/>
  <c r="AI18" i="8"/>
  <c r="AI29" i="8"/>
  <c r="AJ21" i="8"/>
  <c r="AJ29" i="8"/>
  <c r="AJ20" i="8"/>
  <c r="AJ28" i="8"/>
  <c r="AI8" i="8"/>
  <c r="AJ19" i="8"/>
  <c r="AJ27" i="8"/>
  <c r="AI7" i="8"/>
  <c r="AO23" i="8"/>
  <c r="AO27" i="8"/>
  <c r="AI13" i="8"/>
  <c r="AO22" i="8"/>
  <c r="AO26" i="8"/>
  <c r="AI20" i="8"/>
  <c r="AO21" i="8"/>
  <c r="AO8" i="8"/>
  <c r="AI6" i="8"/>
  <c r="AJ6" i="8"/>
  <c r="AO6" i="8"/>
  <c r="AJ14" i="8"/>
  <c r="AI17" i="8"/>
  <c r="AJ18" i="8"/>
  <c r="AO20" i="8"/>
  <c r="AI28" i="8"/>
  <c r="AJ26" i="8"/>
  <c r="AI24" i="8"/>
  <c r="AO7" i="8"/>
  <c r="AI12" i="8"/>
  <c r="AJ13" i="8"/>
  <c r="AO13" i="8"/>
  <c r="AI14" i="8"/>
  <c r="AI16" i="8"/>
  <c r="AJ17" i="8"/>
  <c r="AO19" i="8"/>
  <c r="AI27" i="8"/>
  <c r="AJ25" i="8"/>
  <c r="AI11" i="8"/>
  <c r="AJ12" i="8"/>
  <c r="AO12" i="8"/>
  <c r="AI23" i="8"/>
  <c r="AI15" i="8"/>
  <c r="AJ16" i="8"/>
  <c r="AO18" i="8"/>
  <c r="AI26" i="8"/>
  <c r="AO24" i="8"/>
  <c r="AJ9" i="8"/>
  <c r="AJ8" i="8"/>
  <c r="AJ7" i="8"/>
  <c r="AO25" i="8"/>
  <c r="AI10" i="8"/>
  <c r="AJ11" i="8"/>
  <c r="AO11" i="8"/>
  <c r="AI22" i="8"/>
  <c r="AJ23" i="8"/>
  <c r="AJ15" i="8"/>
  <c r="AO17" i="8"/>
  <c r="AI25" i="8"/>
  <c r="AO29" i="8"/>
  <c r="AO9" i="8"/>
  <c r="AI9" i="8"/>
  <c r="AJ10" i="8"/>
  <c r="AO10" i="8"/>
  <c r="AI21" i="8"/>
  <c r="AJ22" i="8"/>
  <c r="AO14" i="8"/>
  <c r="AO16" i="8"/>
  <c r="AJ24" i="8"/>
  <c r="AO28" i="8"/>
  <c r="BD5" i="6"/>
  <c r="BD3" i="6"/>
  <c r="BD4" i="6"/>
  <c r="H103" i="92"/>
  <c r="AC87" i="92"/>
  <c r="I104" i="92"/>
  <c r="I103" i="92"/>
  <c r="G6" i="99"/>
  <c r="G6" i="100"/>
  <c r="G6" i="98"/>
  <c r="AF6" i="100"/>
  <c r="H104" i="92"/>
  <c r="Y3" i="6"/>
  <c r="Z3" i="6"/>
  <c r="Z2" i="6"/>
  <c r="X55" i="92"/>
  <c r="X62" i="92"/>
  <c r="X63" i="92"/>
  <c r="AC86" i="92"/>
  <c r="X87" i="92" l="1"/>
  <c r="X84" i="92"/>
  <c r="R86" i="92"/>
  <c r="BF4" i="6"/>
  <c r="BG5" i="6"/>
  <c r="AW8" i="6"/>
  <c r="BG4" i="6"/>
  <c r="AW10" i="6"/>
  <c r="AW9" i="6"/>
  <c r="AW11" i="6"/>
  <c r="G8" i="100"/>
  <c r="AK90" i="96"/>
  <c r="H6" i="93"/>
  <c r="I32" i="96"/>
  <c r="AH83" i="96"/>
  <c r="AE6" i="94"/>
  <c r="X6" i="93" l="1"/>
  <c r="Y8" i="93" a="1"/>
  <c r="Y8" i="93" s="1"/>
  <c r="P6" i="93"/>
  <c r="Q32" i="96"/>
  <c r="AH13" i="94"/>
  <c r="W109" i="96"/>
  <c r="W85" i="96" l="1"/>
  <c r="W8" i="96" l="1"/>
  <c r="AD23" i="6" l="1"/>
  <c r="AD24" i="6"/>
  <c r="F21" i="6" l="1"/>
  <c r="F22" i="6"/>
  <c r="F23" i="6"/>
  <c r="F24" i="6"/>
  <c r="F25" i="6"/>
  <c r="F26" i="6"/>
  <c r="F27" i="6"/>
  <c r="F28" i="6"/>
  <c r="F29" i="6"/>
  <c r="F30" i="6"/>
  <c r="F31" i="6"/>
  <c r="F20" i="6"/>
  <c r="N15" i="6" l="1"/>
  <c r="N14" i="6"/>
  <c r="AE24" i="6"/>
  <c r="AE23" i="6"/>
  <c r="AD5" i="6"/>
  <c r="AE5" i="6" s="1"/>
  <c r="AF5" i="6" s="1"/>
  <c r="AD6" i="6"/>
  <c r="AD7" i="6"/>
  <c r="AD8" i="6"/>
  <c r="AE8" i="6" s="1"/>
  <c r="AF8" i="6" s="1"/>
  <c r="AG8" i="6" s="1"/>
  <c r="AD9" i="6"/>
  <c r="AD10" i="6"/>
  <c r="AE10" i="6" s="1"/>
  <c r="AF10" i="6" s="1"/>
  <c r="AG10" i="6" s="1"/>
  <c r="AD11" i="6"/>
  <c r="AD12" i="6"/>
  <c r="AD13" i="6"/>
  <c r="AE13" i="6" s="1"/>
  <c r="AF13" i="6" s="1"/>
  <c r="AD14" i="6"/>
  <c r="AE14" i="6" s="1"/>
  <c r="AF14" i="6" s="1"/>
  <c r="AD15" i="6"/>
  <c r="AD16" i="6"/>
  <c r="AE16" i="6" s="1"/>
  <c r="AF16" i="6" s="1"/>
  <c r="AG16" i="6" s="1"/>
  <c r="AD17" i="6"/>
  <c r="AE17" i="6" s="1"/>
  <c r="AF17" i="6" s="1"/>
  <c r="AD18" i="6"/>
  <c r="AE18" i="6" s="1"/>
  <c r="AF18" i="6" s="1"/>
  <c r="AG18" i="6" s="1"/>
  <c r="AD19" i="6"/>
  <c r="AD20" i="6"/>
  <c r="AD21" i="6"/>
  <c r="AD22" i="6"/>
  <c r="AE22" i="6" s="1"/>
  <c r="AF22" i="6" s="1"/>
  <c r="AD4" i="6"/>
  <c r="AE4" i="6" s="1"/>
  <c r="AF4" i="6" s="1"/>
  <c r="BE107" i="96"/>
  <c r="L135" i="6"/>
  <c r="BF107" i="101" s="1"/>
  <c r="L136" i="6"/>
  <c r="L137" i="6"/>
  <c r="L138" i="6"/>
  <c r="L139" i="6"/>
  <c r="L140" i="6"/>
  <c r="L141" i="6"/>
  <c r="L134" i="6"/>
  <c r="AH107" i="96"/>
  <c r="AG107" i="96"/>
  <c r="J107" i="96"/>
  <c r="I107" i="96"/>
  <c r="Q107" i="96" s="1"/>
  <c r="C107" i="96"/>
  <c r="AU107" i="96"/>
  <c r="I83" i="96"/>
  <c r="J83" i="96"/>
  <c r="AG83" i="96"/>
  <c r="AE21" i="6" l="1"/>
  <c r="AF21" i="6" s="1"/>
  <c r="AN6" i="101"/>
  <c r="H107" i="92"/>
  <c r="AI84" i="101"/>
  <c r="D83" i="101"/>
  <c r="BD83" i="101"/>
  <c r="D32" i="101"/>
  <c r="AN32" i="101"/>
  <c r="AR32" i="101" s="1"/>
  <c r="D107" i="101"/>
  <c r="H109" i="92"/>
  <c r="D6" i="101"/>
  <c r="AE9" i="6"/>
  <c r="AF9" i="6" s="1"/>
  <c r="I109" i="92"/>
  <c r="AN12" i="101"/>
  <c r="I107" i="92"/>
  <c r="J85" i="96"/>
  <c r="AP83" i="96"/>
  <c r="I85" i="96"/>
  <c r="Q83" i="96"/>
  <c r="AS107" i="96"/>
  <c r="AP107" i="96"/>
  <c r="BF107" i="96"/>
  <c r="AE6" i="6"/>
  <c r="AF6" i="6" s="1"/>
  <c r="AG6" i="6" s="1"/>
  <c r="AU6" i="99"/>
  <c r="H105" i="92"/>
  <c r="Z6" i="99"/>
  <c r="I105" i="92"/>
  <c r="C6" i="98"/>
  <c r="C6" i="100"/>
  <c r="C6" i="99"/>
  <c r="X107" i="96"/>
  <c r="X109" i="96" s="1"/>
  <c r="I109" i="96"/>
  <c r="J109" i="96"/>
  <c r="D107" i="96"/>
  <c r="F107" i="96"/>
  <c r="BC107" i="96" s="1"/>
  <c r="AF24" i="6"/>
  <c r="AG24" i="6" s="1"/>
  <c r="AF23" i="6"/>
  <c r="AG23" i="6" s="1"/>
  <c r="AE20" i="6"/>
  <c r="AF20" i="6" s="1"/>
  <c r="AG20" i="6" s="1"/>
  <c r="AE12" i="6"/>
  <c r="AF12" i="6" s="1"/>
  <c r="AG12" i="6" s="1"/>
  <c r="AE19" i="6"/>
  <c r="AF19" i="6" s="1"/>
  <c r="AG19" i="6" s="1"/>
  <c r="AE11" i="6"/>
  <c r="AF11" i="6" s="1"/>
  <c r="AG11" i="6" s="1"/>
  <c r="AG17" i="6"/>
  <c r="AG9" i="6"/>
  <c r="AG22" i="6"/>
  <c r="AG14" i="6"/>
  <c r="AG4" i="6"/>
  <c r="AE15" i="6"/>
  <c r="AF15" i="6" s="1"/>
  <c r="AG15" i="6" s="1"/>
  <c r="AE7" i="6"/>
  <c r="AF7" i="6" s="1"/>
  <c r="AG7" i="6" s="1"/>
  <c r="AG21" i="6"/>
  <c r="AG13" i="6"/>
  <c r="AG5" i="6"/>
  <c r="U107" i="96"/>
  <c r="U109" i="96" s="1"/>
  <c r="AW107" i="96"/>
  <c r="E107" i="96"/>
  <c r="Y107" i="96"/>
  <c r="Y109" i="96" s="1"/>
  <c r="AT107" i="96"/>
  <c r="AV107" i="96"/>
  <c r="T107" i="96"/>
  <c r="T109" i="96" s="1"/>
  <c r="Q109" i="96"/>
  <c r="D38" i="101" l="1"/>
  <c r="I102" i="92"/>
  <c r="D12" i="101"/>
  <c r="D113" i="101"/>
  <c r="AR6" i="101"/>
  <c r="AS6" i="101"/>
  <c r="F32" i="101"/>
  <c r="F6" i="101"/>
  <c r="F107" i="101"/>
  <c r="H102" i="92"/>
  <c r="F83" i="101"/>
  <c r="H106" i="92"/>
  <c r="I106" i="92"/>
  <c r="E6" i="100"/>
  <c r="E6" i="98"/>
  <c r="E6" i="99"/>
  <c r="V109" i="96"/>
  <c r="V107" i="96"/>
  <c r="G107" i="96"/>
  <c r="AD107" i="96"/>
  <c r="BO11" i="96" s="1"/>
  <c r="BB107" i="96"/>
  <c r="AE107" i="96"/>
  <c r="BP11" i="96" s="1"/>
  <c r="AI107" i="96"/>
  <c r="K107" i="96"/>
  <c r="K109" i="96" s="1"/>
  <c r="AD6" i="101" l="1"/>
  <c r="G6" i="101"/>
  <c r="AE6" i="101"/>
  <c r="K6" i="101"/>
  <c r="K8" i="101" s="1"/>
  <c r="AI6" i="101"/>
  <c r="AD32" i="101"/>
  <c r="K32" i="101"/>
  <c r="AI32" i="101"/>
  <c r="G32" i="101"/>
  <c r="AE32" i="101"/>
  <c r="E116" i="101"/>
  <c r="F116" i="101" s="1"/>
  <c r="G113" i="101"/>
  <c r="BB113" i="101"/>
  <c r="BC113" i="101"/>
  <c r="E113" i="101"/>
  <c r="F113" i="101"/>
  <c r="AD113" i="101" s="1"/>
  <c r="K83" i="101"/>
  <c r="K85" i="101" s="1"/>
  <c r="AE83" i="101"/>
  <c r="AD83" i="101"/>
  <c r="G83" i="101"/>
  <c r="E15" i="101"/>
  <c r="F15" i="101" s="1"/>
  <c r="F12" i="101"/>
  <c r="AD12" i="101" s="1"/>
  <c r="G12" i="101"/>
  <c r="E12" i="101"/>
  <c r="AD107" i="101"/>
  <c r="K107" i="101"/>
  <c r="K109" i="101" s="1"/>
  <c r="G107" i="101"/>
  <c r="AE107" i="101"/>
  <c r="AE113" i="101" s="1"/>
  <c r="BC107" i="101"/>
  <c r="AI107" i="101"/>
  <c r="BB107" i="101"/>
  <c r="D91" i="101"/>
  <c r="E38" i="101"/>
  <c r="E41" i="101"/>
  <c r="F41" i="101" s="1"/>
  <c r="F38" i="101"/>
  <c r="G38" i="101"/>
  <c r="I252" i="92"/>
  <c r="I253" i="92"/>
  <c r="J6" i="99"/>
  <c r="F6" i="99"/>
  <c r="AZ6" i="99"/>
  <c r="AE6" i="99"/>
  <c r="AZ6" i="100"/>
  <c r="F6" i="100"/>
  <c r="BB6" i="100"/>
  <c r="J6" i="100"/>
  <c r="F6" i="98"/>
  <c r="J6" i="98"/>
  <c r="AZ6" i="98"/>
  <c r="BB6" i="98"/>
  <c r="AF6" i="98"/>
  <c r="AV83" i="96"/>
  <c r="AU83" i="96"/>
  <c r="C83" i="96"/>
  <c r="U83" i="96"/>
  <c r="U85" i="96" s="1"/>
  <c r="BF113" i="101" l="1"/>
  <c r="AD38" i="101"/>
  <c r="BE113" i="101"/>
  <c r="AE12" i="101"/>
  <c r="AE38" i="101"/>
  <c r="AO6" i="101"/>
  <c r="AT6" i="101" s="1"/>
  <c r="E89" i="101"/>
  <c r="AD89" i="101" s="1"/>
  <c r="F89" i="101"/>
  <c r="AE89" i="101" s="1"/>
  <c r="AO32" i="101"/>
  <c r="AT32" i="101" s="1"/>
  <c r="AX32" i="101" s="1"/>
  <c r="AY32" i="101" s="1"/>
  <c r="BD83" i="96"/>
  <c r="AI83" i="96"/>
  <c r="AI84" i="96"/>
  <c r="J8" i="100"/>
  <c r="D83" i="96"/>
  <c r="F83" i="96"/>
  <c r="K83" i="96" s="1"/>
  <c r="K85" i="96" s="1"/>
  <c r="AW83" i="96"/>
  <c r="AS83" i="96"/>
  <c r="AT83" i="96"/>
  <c r="T83" i="96"/>
  <c r="X83" i="96"/>
  <c r="X85" i="96" s="1"/>
  <c r="E83" i="96"/>
  <c r="Y83" i="96"/>
  <c r="Y85" i="96" s="1"/>
  <c r="AP32" i="96"/>
  <c r="AH32" i="96"/>
  <c r="AG32" i="96"/>
  <c r="AU32" i="96" s="1"/>
  <c r="J32" i="96"/>
  <c r="C32" i="96"/>
  <c r="V32" i="96"/>
  <c r="C6" i="96"/>
  <c r="S54" i="6"/>
  <c r="AP6" i="96"/>
  <c r="R21" i="6"/>
  <c r="S21" i="6" s="1"/>
  <c r="AG6" i="96"/>
  <c r="AH6" i="96"/>
  <c r="J6" i="96"/>
  <c r="I6" i="96"/>
  <c r="I6" i="95"/>
  <c r="B6" i="95"/>
  <c r="Q6" i="96" l="1"/>
  <c r="Q8" i="96" s="1"/>
  <c r="AA17" i="96"/>
  <c r="AQ32" i="96"/>
  <c r="AL32" i="96"/>
  <c r="AK32" i="96"/>
  <c r="AS32" i="96"/>
  <c r="AQ6" i="96"/>
  <c r="AL6" i="96"/>
  <c r="AK6" i="96"/>
  <c r="AJ8" i="96"/>
  <c r="G6" i="95"/>
  <c r="AU6" i="95"/>
  <c r="V83" i="96"/>
  <c r="T85" i="96"/>
  <c r="V85" i="96" s="1"/>
  <c r="Q85" i="96"/>
  <c r="T6" i="96"/>
  <c r="T8" i="96" s="1"/>
  <c r="I8" i="96"/>
  <c r="J8" i="96"/>
  <c r="Y32" i="96"/>
  <c r="H107" i="96"/>
  <c r="H109" i="96" s="1"/>
  <c r="H83" i="96"/>
  <c r="H32" i="96"/>
  <c r="H6" i="96"/>
  <c r="H8" i="96" s="1"/>
  <c r="AE83" i="96"/>
  <c r="BP10" i="96" s="1"/>
  <c r="AD83" i="96"/>
  <c r="D6" i="96"/>
  <c r="F6" i="96"/>
  <c r="AE6" i="96" s="1"/>
  <c r="AN6" i="96"/>
  <c r="D32" i="96"/>
  <c r="F32" i="96"/>
  <c r="AE32" i="96" s="1"/>
  <c r="BP9" i="96" s="1"/>
  <c r="AN32" i="96"/>
  <c r="E6" i="95"/>
  <c r="AZ6" i="95" s="1"/>
  <c r="H210" i="92" s="1"/>
  <c r="Z6" i="95"/>
  <c r="C6" i="95"/>
  <c r="G83" i="96"/>
  <c r="X32" i="96"/>
  <c r="U32" i="96"/>
  <c r="E32" i="96"/>
  <c r="T32" i="96"/>
  <c r="U6" i="96"/>
  <c r="E6" i="96"/>
  <c r="Y6" i="96"/>
  <c r="Y8" i="96" s="1"/>
  <c r="X6" i="96"/>
  <c r="X8" i="96" s="1"/>
  <c r="BO10" i="96" l="1"/>
  <c r="BP7" i="96"/>
  <c r="H222" i="92" s="1"/>
  <c r="BP8" i="96"/>
  <c r="AR6" i="96"/>
  <c r="H85" i="96"/>
  <c r="V6" i="96"/>
  <c r="U8" i="96"/>
  <c r="V8" i="96" s="1"/>
  <c r="G6" i="96"/>
  <c r="AO6" i="96" s="1"/>
  <c r="AT6" i="96" s="1"/>
  <c r="AD6" i="96"/>
  <c r="AI6" i="96"/>
  <c r="AD32" i="96"/>
  <c r="BO9" i="96" s="1"/>
  <c r="AI32" i="96"/>
  <c r="K32" i="96"/>
  <c r="K6" i="96"/>
  <c r="K8" i="96" s="1"/>
  <c r="J6" i="95"/>
  <c r="AE6" i="95"/>
  <c r="G32" i="96"/>
  <c r="AO32" i="96" s="1"/>
  <c r="AT32" i="96" s="1"/>
  <c r="AX32" i="96" s="1"/>
  <c r="AR32" i="96"/>
  <c r="AS6" i="96"/>
  <c r="AQ6" i="95"/>
  <c r="AD6" i="95"/>
  <c r="AC6" i="95"/>
  <c r="H6" i="95"/>
  <c r="P6" i="95" s="1"/>
  <c r="D6" i="95"/>
  <c r="F6" i="95" s="1"/>
  <c r="AL6" i="95" l="1"/>
  <c r="BO7" i="96"/>
  <c r="BO8" i="96"/>
  <c r="AY32" i="96"/>
  <c r="H224" i="92"/>
  <c r="AO6" i="95"/>
  <c r="W6" i="95"/>
  <c r="AP6" i="95"/>
  <c r="AR6" i="95"/>
  <c r="AS6" i="95"/>
  <c r="T6" i="95"/>
  <c r="X6" i="95"/>
  <c r="S6" i="95"/>
  <c r="H221" i="92" l="1"/>
  <c r="U6" i="95"/>
  <c r="I6" i="94" l="1"/>
  <c r="H6" i="94"/>
  <c r="P6" i="94" s="1"/>
  <c r="B6" i="94"/>
  <c r="AG30" i="94" s="1"/>
  <c r="AR6" i="94"/>
  <c r="AD6" i="94"/>
  <c r="AM6" i="94" s="1"/>
  <c r="H47" i="92"/>
  <c r="B6" i="93"/>
  <c r="G6" i="93" s="1"/>
  <c r="I6" i="93"/>
  <c r="AD6" i="93"/>
  <c r="AE6" i="93"/>
  <c r="AR6" i="93"/>
  <c r="O5" i="6"/>
  <c r="O6" i="6" s="1"/>
  <c r="O7" i="6" s="1"/>
  <c r="J29" i="8"/>
  <c r="I29" i="8"/>
  <c r="J25" i="8"/>
  <c r="J26" i="8" s="1"/>
  <c r="J27" i="8" s="1"/>
  <c r="I25" i="8"/>
  <c r="I26" i="8" s="1"/>
  <c r="I27" i="8" s="1"/>
  <c r="C24" i="8"/>
  <c r="C25" i="8"/>
  <c r="C26" i="8"/>
  <c r="C27" i="8"/>
  <c r="C29" i="8"/>
  <c r="C28" i="8"/>
  <c r="C23" i="8"/>
  <c r="J22" i="8"/>
  <c r="J23" i="8" s="1"/>
  <c r="I22" i="8"/>
  <c r="I23" i="8" s="1"/>
  <c r="C22" i="8"/>
  <c r="C21" i="8"/>
  <c r="C20" i="8"/>
  <c r="C19" i="8"/>
  <c r="C18" i="8"/>
  <c r="C17" i="8"/>
  <c r="C16" i="8"/>
  <c r="J15" i="8"/>
  <c r="J16" i="8"/>
  <c r="J17" i="8"/>
  <c r="J18" i="8" s="1"/>
  <c r="J19" i="8" s="1"/>
  <c r="J20" i="8" s="1"/>
  <c r="I15" i="8"/>
  <c r="I16" i="8" s="1"/>
  <c r="I17" i="8" s="1"/>
  <c r="I18" i="8" s="1"/>
  <c r="I19" i="8" s="1"/>
  <c r="I20" i="8" s="1"/>
  <c r="C15" i="8"/>
  <c r="C14" i="8"/>
  <c r="C13" i="8"/>
  <c r="J12" i="8"/>
  <c r="J13" i="8" s="1"/>
  <c r="I12" i="8"/>
  <c r="I13" i="8" s="1"/>
  <c r="C12" i="8"/>
  <c r="C11" i="8"/>
  <c r="C10" i="8"/>
  <c r="C9" i="8"/>
  <c r="C8" i="8"/>
  <c r="J7" i="8"/>
  <c r="J8" i="8"/>
  <c r="J9" i="8" s="1"/>
  <c r="J10" i="8" s="1"/>
  <c r="I7" i="8"/>
  <c r="I8" i="8" s="1"/>
  <c r="I9" i="8" s="1"/>
  <c r="I10" i="8" s="1"/>
  <c r="C7" i="8"/>
  <c r="C6" i="8"/>
  <c r="H144" i="92" l="1"/>
  <c r="O27" i="8"/>
  <c r="H126" i="92"/>
  <c r="I126" i="92" s="1"/>
  <c r="H113" i="92"/>
  <c r="AI8" i="101"/>
  <c r="M107" i="101"/>
  <c r="M83" i="101"/>
  <c r="M85" i="101" s="1"/>
  <c r="AL107" i="101"/>
  <c r="N6" i="101"/>
  <c r="N83" i="101"/>
  <c r="P6" i="101"/>
  <c r="L107" i="101"/>
  <c r="P32" i="101"/>
  <c r="AK107" i="101"/>
  <c r="O32" i="101"/>
  <c r="AM83" i="101"/>
  <c r="N32" i="101"/>
  <c r="AK83" i="101"/>
  <c r="L6" i="101"/>
  <c r="O107" i="101"/>
  <c r="L32" i="101"/>
  <c r="AM107" i="101"/>
  <c r="P107" i="101"/>
  <c r="L83" i="101"/>
  <c r="AN83" i="101"/>
  <c r="AN107" i="101"/>
  <c r="O6" i="101"/>
  <c r="M6" i="101"/>
  <c r="O83" i="101"/>
  <c r="M32" i="101"/>
  <c r="AL83" i="101"/>
  <c r="P83" i="101"/>
  <c r="AO107" i="101"/>
  <c r="AO83" i="101"/>
  <c r="N107" i="101"/>
  <c r="AL6" i="98"/>
  <c r="AI6" i="100"/>
  <c r="AK6" i="100"/>
  <c r="AK6" i="98"/>
  <c r="AH6" i="100"/>
  <c r="AJ6" i="98"/>
  <c r="AJ6" i="100"/>
  <c r="AI6" i="98"/>
  <c r="AH6" i="98"/>
  <c r="AL6" i="100"/>
  <c r="O6" i="98"/>
  <c r="N6" i="99"/>
  <c r="M6" i="100"/>
  <c r="M8" i="100" s="1"/>
  <c r="AK6" i="99"/>
  <c r="AJ6" i="99"/>
  <c r="K6" i="98"/>
  <c r="N6" i="98"/>
  <c r="M6" i="99"/>
  <c r="AW6" i="99"/>
  <c r="K6" i="99"/>
  <c r="M6" i="98"/>
  <c r="AG6" i="99"/>
  <c r="AB6" i="99"/>
  <c r="AI6" i="99"/>
  <c r="L6" i="100"/>
  <c r="AH6" i="99"/>
  <c r="N6" i="100"/>
  <c r="L6" i="98"/>
  <c r="K6" i="100"/>
  <c r="O6" i="100"/>
  <c r="O6" i="99"/>
  <c r="L6" i="99"/>
  <c r="AK83" i="96"/>
  <c r="AJ6" i="94"/>
  <c r="AL6" i="94"/>
  <c r="AN83" i="96"/>
  <c r="AM83" i="96"/>
  <c r="AL83" i="96"/>
  <c r="AK6" i="94"/>
  <c r="AI6" i="94"/>
  <c r="AH6" i="94"/>
  <c r="AO83" i="96"/>
  <c r="M107" i="96"/>
  <c r="O83" i="96"/>
  <c r="AK107" i="96"/>
  <c r="L107" i="96"/>
  <c r="M83" i="96"/>
  <c r="AN107" i="96"/>
  <c r="N83" i="96"/>
  <c r="N107" i="96"/>
  <c r="N109" i="96" s="1"/>
  <c r="L83" i="96"/>
  <c r="O107" i="96"/>
  <c r="P107" i="96"/>
  <c r="P109" i="96" s="1"/>
  <c r="AO107" i="96"/>
  <c r="AM107" i="96"/>
  <c r="P83" i="96"/>
  <c r="AL107" i="96"/>
  <c r="AI8" i="96"/>
  <c r="L6" i="95"/>
  <c r="L32" i="96"/>
  <c r="N32" i="96"/>
  <c r="M6" i="95"/>
  <c r="O6" i="96"/>
  <c r="O6" i="95"/>
  <c r="N6" i="96"/>
  <c r="K6" i="95"/>
  <c r="M32" i="96"/>
  <c r="O32" i="96"/>
  <c r="M6" i="96"/>
  <c r="M8" i="96" s="1"/>
  <c r="AB6" i="95"/>
  <c r="P6" i="96"/>
  <c r="L6" i="96"/>
  <c r="P32" i="96"/>
  <c r="N6" i="95"/>
  <c r="AH6" i="95"/>
  <c r="AG6" i="95"/>
  <c r="AW6" i="95"/>
  <c r="AK6" i="95"/>
  <c r="AJ6" i="95"/>
  <c r="AI6" i="95"/>
  <c r="K6" i="93"/>
  <c r="J13" i="93" s="1"/>
  <c r="O6" i="93"/>
  <c r="L6" i="93"/>
  <c r="M6" i="93"/>
  <c r="N6" i="93"/>
  <c r="O6" i="94"/>
  <c r="O8" i="94" s="1"/>
  <c r="N6" i="94"/>
  <c r="N8" i="94" s="1"/>
  <c r="L6" i="94"/>
  <c r="L8" i="94" s="1"/>
  <c r="M6" i="94"/>
  <c r="M8" i="94" s="1"/>
  <c r="K6" i="94"/>
  <c r="AJ6" i="93"/>
  <c r="AI6" i="93"/>
  <c r="AH6" i="93"/>
  <c r="AL6" i="93"/>
  <c r="AK6" i="93"/>
  <c r="AG13" i="8"/>
  <c r="R8" i="8"/>
  <c r="AG22" i="8"/>
  <c r="R10" i="8"/>
  <c r="AG27" i="8"/>
  <c r="O21" i="8"/>
  <c r="AG20" i="8"/>
  <c r="O17" i="8"/>
  <c r="AG29" i="8"/>
  <c r="R13" i="8"/>
  <c r="AG12" i="8"/>
  <c r="R7" i="8"/>
  <c r="AG26" i="8"/>
  <c r="O20" i="8"/>
  <c r="AG28" i="8"/>
  <c r="R12" i="8"/>
  <c r="AG21" i="8"/>
  <c r="R9" i="8"/>
  <c r="AG15" i="8"/>
  <c r="O12" i="8"/>
  <c r="M10" i="8"/>
  <c r="M11" i="8" s="1"/>
  <c r="AG16" i="8"/>
  <c r="O13" i="8"/>
  <c r="AG25" i="8"/>
  <c r="O19" i="8"/>
  <c r="AG14" i="8"/>
  <c r="O11" i="8"/>
  <c r="AG11" i="8"/>
  <c r="R6" i="8"/>
  <c r="AG17" i="8"/>
  <c r="O14" i="8"/>
  <c r="AG24" i="8"/>
  <c r="O18" i="8"/>
  <c r="AG9" i="8"/>
  <c r="O9" i="8"/>
  <c r="X9" i="8" s="1"/>
  <c r="AG10" i="8"/>
  <c r="O10" i="8"/>
  <c r="X10" i="8" s="1"/>
  <c r="H253" i="92"/>
  <c r="J253" i="92" s="1"/>
  <c r="N8" i="101"/>
  <c r="P8" i="101"/>
  <c r="N109" i="101"/>
  <c r="M8" i="101"/>
  <c r="N85" i="101"/>
  <c r="M109" i="101"/>
  <c r="P109" i="101"/>
  <c r="P85" i="101"/>
  <c r="N8" i="100"/>
  <c r="L8" i="100"/>
  <c r="O8" i="100"/>
  <c r="AG6" i="8"/>
  <c r="X56" i="92"/>
  <c r="O6" i="8"/>
  <c r="M109" i="96"/>
  <c r="M85" i="96"/>
  <c r="P85" i="96"/>
  <c r="N85" i="96"/>
  <c r="N8" i="96"/>
  <c r="O8" i="96"/>
  <c r="P8" i="96"/>
  <c r="AG18" i="8"/>
  <c r="O15" i="8"/>
  <c r="AG7" i="8"/>
  <c r="O7" i="8"/>
  <c r="AG8" i="8"/>
  <c r="O8" i="8"/>
  <c r="AG19" i="8"/>
  <c r="O16" i="8"/>
  <c r="AG23" i="8"/>
  <c r="R11" i="8"/>
  <c r="AM6" i="93"/>
  <c r="AF6" i="94"/>
  <c r="H142" i="92"/>
  <c r="AT6" i="94"/>
  <c r="W6" i="94"/>
  <c r="H8" i="94"/>
  <c r="I8" i="94"/>
  <c r="E6" i="94"/>
  <c r="BB6" i="94" s="1"/>
  <c r="H194" i="92" s="1"/>
  <c r="G6" i="94"/>
  <c r="G8" i="94" s="1"/>
  <c r="T6" i="94"/>
  <c r="C6" i="94"/>
  <c r="C6" i="93"/>
  <c r="E6" i="93"/>
  <c r="J6" i="93" s="1"/>
  <c r="D6" i="94"/>
  <c r="AQ6" i="93"/>
  <c r="T6" i="93"/>
  <c r="W6" i="93"/>
  <c r="S6" i="94"/>
  <c r="S6" i="93"/>
  <c r="AS6" i="93"/>
  <c r="D6" i="93"/>
  <c r="X6" i="94"/>
  <c r="AP6" i="94"/>
  <c r="AP6" i="93"/>
  <c r="AQ6" i="94"/>
  <c r="AT6" i="93"/>
  <c r="AS6" i="94"/>
  <c r="O10" i="6"/>
  <c r="O9" i="6"/>
  <c r="O11" i="6"/>
  <c r="O8" i="6"/>
  <c r="H153" i="92" l="1"/>
  <c r="H145" i="92"/>
  <c r="H152" i="92"/>
  <c r="H146" i="92"/>
  <c r="H151" i="92"/>
  <c r="I151" i="92" s="1"/>
  <c r="H149" i="92"/>
  <c r="H150" i="92"/>
  <c r="H148" i="92"/>
  <c r="I148" i="92" s="1"/>
  <c r="H147" i="92"/>
  <c r="H135" i="92"/>
  <c r="I135" i="92" s="1"/>
  <c r="H127" i="92"/>
  <c r="I127" i="92" s="1"/>
  <c r="H116" i="92"/>
  <c r="H115" i="92"/>
  <c r="I115" i="92" s="1"/>
  <c r="H129" i="92"/>
  <c r="I129" i="92" s="1"/>
  <c r="H134" i="92"/>
  <c r="I134" i="92" s="1"/>
  <c r="H133" i="92"/>
  <c r="I133" i="92" s="1"/>
  <c r="H122" i="92"/>
  <c r="H132" i="92"/>
  <c r="I132" i="92" s="1"/>
  <c r="H121" i="92"/>
  <c r="H117" i="92"/>
  <c r="H131" i="92"/>
  <c r="I131" i="92" s="1"/>
  <c r="H120" i="92"/>
  <c r="H114" i="92"/>
  <c r="H118" i="92"/>
  <c r="I118" i="92" s="1"/>
  <c r="H128" i="92"/>
  <c r="I128" i="92" s="1"/>
  <c r="H130" i="92"/>
  <c r="I130" i="92" s="1"/>
  <c r="H119" i="92"/>
  <c r="R30" i="8"/>
  <c r="R29" i="8"/>
  <c r="O28" i="8"/>
  <c r="O31" i="8"/>
  <c r="O29" i="8"/>
  <c r="O30" i="8"/>
  <c r="O33" i="8"/>
  <c r="O32" i="8"/>
  <c r="O34" i="8"/>
  <c r="R28" i="8"/>
  <c r="L8" i="101"/>
  <c r="Z8" i="101" s="1"/>
  <c r="J17" i="101"/>
  <c r="K13" i="101"/>
  <c r="K15" i="101"/>
  <c r="J13" i="101"/>
  <c r="J15" i="101"/>
  <c r="Z6" i="101"/>
  <c r="I144" i="92"/>
  <c r="H254" i="92"/>
  <c r="J254" i="92" s="1"/>
  <c r="J13" i="100"/>
  <c r="J15" i="100"/>
  <c r="K8" i="100"/>
  <c r="Y8" i="100" s="1"/>
  <c r="I17" i="100"/>
  <c r="I15" i="100"/>
  <c r="I13" i="100"/>
  <c r="Y6" i="100"/>
  <c r="O8" i="101"/>
  <c r="AD15" i="99"/>
  <c r="AE15" i="99"/>
  <c r="AD17" i="99"/>
  <c r="AD13" i="99"/>
  <c r="AE13" i="99"/>
  <c r="AT6" i="99"/>
  <c r="AV6" i="99" s="1"/>
  <c r="AX6" i="99" s="1"/>
  <c r="AX107" i="101"/>
  <c r="AI114" i="101"/>
  <c r="AH114" i="101"/>
  <c r="AH118" i="101"/>
  <c r="AI116" i="101"/>
  <c r="AH116" i="101"/>
  <c r="AH13" i="96"/>
  <c r="AI13" i="96"/>
  <c r="AI15" i="96"/>
  <c r="AH17" i="96"/>
  <c r="AH15" i="96"/>
  <c r="I17" i="99"/>
  <c r="I13" i="99"/>
  <c r="J15" i="99"/>
  <c r="J13" i="99"/>
  <c r="I15" i="99"/>
  <c r="Y6" i="99"/>
  <c r="AA6" i="99" s="1"/>
  <c r="AY6" i="99" s="1"/>
  <c r="J39" i="101"/>
  <c r="Z32" i="101"/>
  <c r="J41" i="101"/>
  <c r="J43" i="101"/>
  <c r="K39" i="101"/>
  <c r="K41" i="101"/>
  <c r="X7" i="8"/>
  <c r="V7" i="8"/>
  <c r="I17" i="95"/>
  <c r="J15" i="95"/>
  <c r="I15" i="95"/>
  <c r="J13" i="95"/>
  <c r="I13" i="95"/>
  <c r="Y6" i="95"/>
  <c r="AA6" i="95" s="1"/>
  <c r="AY6" i="95" s="1"/>
  <c r="O85" i="96"/>
  <c r="V6" i="8"/>
  <c r="AA16" i="8" s="1" a="1"/>
  <c r="AA16" i="8" s="1"/>
  <c r="X6" i="8"/>
  <c r="L85" i="101"/>
  <c r="Z85" i="101" s="1"/>
  <c r="K90" i="101"/>
  <c r="J90" i="101"/>
  <c r="J92" i="101"/>
  <c r="K92" i="101"/>
  <c r="J94" i="101"/>
  <c r="Z83" i="101"/>
  <c r="AH17" i="101"/>
  <c r="AI15" i="101"/>
  <c r="AI13" i="101"/>
  <c r="AH15" i="101"/>
  <c r="AH13" i="101"/>
  <c r="X8" i="8"/>
  <c r="V8" i="8"/>
  <c r="O109" i="96"/>
  <c r="Z32" i="96"/>
  <c r="J39" i="96"/>
  <c r="J41" i="96"/>
  <c r="K41" i="96"/>
  <c r="J43" i="96"/>
  <c r="K39" i="96"/>
  <c r="AH92" i="96"/>
  <c r="AX83" i="96"/>
  <c r="AH94" i="96"/>
  <c r="AH90" i="96"/>
  <c r="AI90" i="96"/>
  <c r="AI92" i="96"/>
  <c r="AE13" i="100"/>
  <c r="AE17" i="100"/>
  <c r="AF15" i="100"/>
  <c r="AE15" i="100"/>
  <c r="AF13" i="100"/>
  <c r="AU6" i="100"/>
  <c r="BA6" i="100" s="1"/>
  <c r="O37" i="8"/>
  <c r="O40" i="8" s="1"/>
  <c r="O43" i="8" s="1"/>
  <c r="O46" i="8" s="1"/>
  <c r="O49" i="8" s="1"/>
  <c r="O52" i="8" s="1"/>
  <c r="O55" i="8" s="1"/>
  <c r="O58" i="8" s="1"/>
  <c r="O61" i="8" s="1"/>
  <c r="O64" i="8" s="1"/>
  <c r="O67" i="8" s="1"/>
  <c r="O70" i="8" s="1"/>
  <c r="O73" i="8" s="1"/>
  <c r="O76" i="8" s="1"/>
  <c r="O79" i="8" s="1"/>
  <c r="O36" i="8"/>
  <c r="O39" i="8" s="1"/>
  <c r="O42" i="8" s="1"/>
  <c r="O45" i="8" s="1"/>
  <c r="O48" i="8" s="1"/>
  <c r="O51" i="8" s="1"/>
  <c r="O54" i="8" s="1"/>
  <c r="O57" i="8" s="1"/>
  <c r="O60" i="8" s="1"/>
  <c r="O63" i="8" s="1"/>
  <c r="O66" i="8" s="1"/>
  <c r="O69" i="8" s="1"/>
  <c r="O72" i="8" s="1"/>
  <c r="O75" i="8" s="1"/>
  <c r="O78" i="8" s="1"/>
  <c r="O81" i="8" s="1"/>
  <c r="O38" i="8"/>
  <c r="O41" i="8" s="1"/>
  <c r="O44" i="8" s="1"/>
  <c r="O47" i="8" s="1"/>
  <c r="O50" i="8" s="1"/>
  <c r="O53" i="8" s="1"/>
  <c r="O56" i="8" s="1"/>
  <c r="O59" i="8" s="1"/>
  <c r="O62" i="8" s="1"/>
  <c r="O65" i="8" s="1"/>
  <c r="O68" i="8" s="1"/>
  <c r="O71" i="8" s="1"/>
  <c r="O74" i="8" s="1"/>
  <c r="O77" i="8" s="1"/>
  <c r="O80" i="8" s="1"/>
  <c r="L85" i="96"/>
  <c r="Z85" i="96" s="1"/>
  <c r="K92" i="96"/>
  <c r="J92" i="96"/>
  <c r="J94" i="96"/>
  <c r="J90" i="96"/>
  <c r="K90" i="96"/>
  <c r="Z83" i="96"/>
  <c r="I121" i="92"/>
  <c r="I153" i="92"/>
  <c r="I122" i="92"/>
  <c r="I150" i="92"/>
  <c r="I120" i="92"/>
  <c r="I152" i="92"/>
  <c r="I149" i="92"/>
  <c r="I119" i="92"/>
  <c r="I147" i="92"/>
  <c r="I117" i="92"/>
  <c r="I146" i="92"/>
  <c r="I116" i="92"/>
  <c r="I145" i="92"/>
  <c r="I15" i="98"/>
  <c r="I11" i="98"/>
  <c r="J13" i="98"/>
  <c r="I13" i="98"/>
  <c r="J11" i="98"/>
  <c r="Y6" i="98"/>
  <c r="L109" i="101"/>
  <c r="Z109" i="101" s="1"/>
  <c r="J114" i="101"/>
  <c r="Z107" i="101"/>
  <c r="K116" i="101"/>
  <c r="J118" i="101"/>
  <c r="J116" i="101"/>
  <c r="K114" i="101"/>
  <c r="AE13" i="95"/>
  <c r="AT6" i="95"/>
  <c r="AV6" i="95" s="1"/>
  <c r="AX6" i="95" s="1"/>
  <c r="AD15" i="95"/>
  <c r="AE15" i="95"/>
  <c r="AD13" i="95"/>
  <c r="AD17" i="95"/>
  <c r="AI92" i="101"/>
  <c r="AI90" i="101"/>
  <c r="AX83" i="101"/>
  <c r="AH90" i="101"/>
  <c r="AH92" i="101"/>
  <c r="AH94" i="101"/>
  <c r="AI114" i="96"/>
  <c r="AH116" i="96"/>
  <c r="AI116" i="96"/>
  <c r="AH118" i="96"/>
  <c r="AH114" i="96"/>
  <c r="AX107" i="96"/>
  <c r="O109" i="101"/>
  <c r="J17" i="96"/>
  <c r="K15" i="96"/>
  <c r="J13" i="96"/>
  <c r="L8" i="96"/>
  <c r="Z8" i="96" s="1"/>
  <c r="K13" i="96"/>
  <c r="J15" i="96"/>
  <c r="Z6" i="96"/>
  <c r="L109" i="96"/>
  <c r="Z109" i="96" s="1"/>
  <c r="K116" i="96"/>
  <c r="J114" i="96"/>
  <c r="J116" i="96"/>
  <c r="J118" i="96"/>
  <c r="K114" i="96"/>
  <c r="Z107" i="96"/>
  <c r="I113" i="92"/>
  <c r="H252" i="92"/>
  <c r="J252" i="92" s="1"/>
  <c r="AE15" i="98"/>
  <c r="AF11" i="98"/>
  <c r="AE13" i="98"/>
  <c r="AE11" i="98"/>
  <c r="AF13" i="98"/>
  <c r="AU6" i="98"/>
  <c r="O85" i="101"/>
  <c r="I254" i="92"/>
  <c r="I15" i="93"/>
  <c r="AU6" i="94"/>
  <c r="H191" i="92" s="1"/>
  <c r="AZ6" i="94"/>
  <c r="AE15" i="94"/>
  <c r="AF15" i="94"/>
  <c r="AE13" i="94"/>
  <c r="AF13" i="94"/>
  <c r="AE17" i="94"/>
  <c r="K8" i="94"/>
  <c r="I17" i="94"/>
  <c r="J15" i="94"/>
  <c r="I15" i="94"/>
  <c r="J13" i="94"/>
  <c r="I13" i="94"/>
  <c r="AF13" i="93"/>
  <c r="AF11" i="93"/>
  <c r="AE13" i="93"/>
  <c r="AE15" i="93"/>
  <c r="AE11" i="93"/>
  <c r="J11" i="93"/>
  <c r="I11" i="93"/>
  <c r="I13" i="93"/>
  <c r="AZ6" i="93"/>
  <c r="H172" i="92" s="1"/>
  <c r="S8" i="94"/>
  <c r="W8" i="94"/>
  <c r="T8" i="94"/>
  <c r="X8" i="94"/>
  <c r="J6" i="94"/>
  <c r="J8" i="94" s="1"/>
  <c r="P8" i="94"/>
  <c r="U6" i="93"/>
  <c r="Y6" i="93" s="1"/>
  <c r="H178" i="92" s="1"/>
  <c r="F6" i="94"/>
  <c r="U6" i="94"/>
  <c r="Y6" i="94" s="1"/>
  <c r="H197" i="92" s="1"/>
  <c r="BB6" i="93"/>
  <c r="H175" i="92" s="1"/>
  <c r="AF6" i="93"/>
  <c r="F6" i="93"/>
  <c r="AU6" i="93"/>
  <c r="H170" i="92" s="1"/>
  <c r="O12" i="6"/>
  <c r="X83" i="92" l="1"/>
  <c r="X75" i="92"/>
  <c r="X77" i="92"/>
  <c r="X86" i="92"/>
  <c r="R127" i="92" a="1"/>
  <c r="R127" i="92" s="1"/>
  <c r="X78" i="92"/>
  <c r="X74" i="92"/>
  <c r="AN6" i="99"/>
  <c r="R6" i="99"/>
  <c r="R6" i="95"/>
  <c r="S6" i="101"/>
  <c r="AA6" i="101" s="1"/>
  <c r="S107" i="101"/>
  <c r="AA107" i="101" s="1"/>
  <c r="S83" i="96"/>
  <c r="AB83" i="96" s="1"/>
  <c r="S107" i="96"/>
  <c r="S109" i="96" s="1"/>
  <c r="R6" i="98"/>
  <c r="Z6" i="98" s="1"/>
  <c r="S83" i="101"/>
  <c r="AA83" i="101" s="1"/>
  <c r="S6" i="96"/>
  <c r="AA12" i="96" s="1"/>
  <c r="R6" i="100"/>
  <c r="R8" i="100" s="1"/>
  <c r="S32" i="96"/>
  <c r="AB32" i="96" s="1"/>
  <c r="AR83" i="101"/>
  <c r="BA83" i="101" s="1"/>
  <c r="AR83" i="96"/>
  <c r="AZ83" i="96" s="1"/>
  <c r="AO6" i="93"/>
  <c r="S32" i="101"/>
  <c r="AA32" i="101" s="1"/>
  <c r="AO6" i="98"/>
  <c r="AV6" i="98" s="1"/>
  <c r="AO6" i="100"/>
  <c r="AV6" i="100" s="1"/>
  <c r="AR107" i="101"/>
  <c r="AZ107" i="101" s="1"/>
  <c r="AR107" i="96"/>
  <c r="AY107" i="96" s="1"/>
  <c r="AN6" i="95"/>
  <c r="H211" i="92"/>
  <c r="V31" i="8"/>
  <c r="V29" i="8"/>
  <c r="V34" i="8"/>
  <c r="V30" i="8"/>
  <c r="V32" i="8"/>
  <c r="I114" i="92"/>
  <c r="V33" i="8"/>
  <c r="V28" i="8"/>
  <c r="H209" i="92"/>
  <c r="BA6" i="95"/>
  <c r="BA6" i="99"/>
  <c r="AO6" i="94"/>
  <c r="H190" i="92" s="1"/>
  <c r="BA6" i="94"/>
  <c r="H192" i="92" s="1"/>
  <c r="R6" i="93"/>
  <c r="R6" i="94"/>
  <c r="H196" i="92" s="1"/>
  <c r="U8" i="94"/>
  <c r="Y8" i="94" s="1"/>
  <c r="AB6" i="101" l="1"/>
  <c r="AA32" i="96"/>
  <c r="AC32" i="96" s="1"/>
  <c r="AF32" i="96" s="1"/>
  <c r="AZ32" i="96" s="1"/>
  <c r="BG9" i="96" s="1"/>
  <c r="BH9" i="96" s="1"/>
  <c r="H214" i="92"/>
  <c r="S8" i="101"/>
  <c r="AB107" i="101"/>
  <c r="AC107" i="101" s="1"/>
  <c r="AF109" i="101" s="1"/>
  <c r="S109" i="101"/>
  <c r="AA13" i="96"/>
  <c r="AA14" i="96" s="1"/>
  <c r="AB6" i="96"/>
  <c r="AA6" i="96"/>
  <c r="AA83" i="96"/>
  <c r="AC83" i="96" s="1"/>
  <c r="AF85" i="96" s="1"/>
  <c r="AB107" i="96"/>
  <c r="S8" i="96"/>
  <c r="AA6" i="98"/>
  <c r="AB6" i="98" s="1"/>
  <c r="AC6" i="98" s="1"/>
  <c r="AB83" i="101"/>
  <c r="AC83" i="101" s="1"/>
  <c r="AF85" i="101" s="1"/>
  <c r="S85" i="101"/>
  <c r="S85" i="96"/>
  <c r="Z6" i="100"/>
  <c r="AA6" i="100"/>
  <c r="AA107" i="96"/>
  <c r="AZ83" i="101"/>
  <c r="AY83" i="101"/>
  <c r="AW6" i="98"/>
  <c r="AX6" i="98" s="1"/>
  <c r="AY6" i="98" s="1"/>
  <c r="BA6" i="98" s="1"/>
  <c r="AB32" i="101"/>
  <c r="AC32" i="101" s="1"/>
  <c r="AF32" i="101" s="1"/>
  <c r="AZ32" i="101" s="1"/>
  <c r="BG9" i="101" s="1"/>
  <c r="BH9" i="101" s="1"/>
  <c r="BA83" i="96"/>
  <c r="AY83" i="96"/>
  <c r="AW6" i="100"/>
  <c r="AX6" i="100" s="1"/>
  <c r="AY6" i="100" s="1"/>
  <c r="AY107" i="101"/>
  <c r="BA107" i="101" s="1"/>
  <c r="BD107" i="101" s="1"/>
  <c r="AZ107" i="96"/>
  <c r="BA107" i="96" s="1"/>
  <c r="BD107" i="96" s="1"/>
  <c r="BG107" i="96" s="1"/>
  <c r="BG11" i="96" s="1"/>
  <c r="AC6" i="101"/>
  <c r="H213" i="92"/>
  <c r="Z6" i="93"/>
  <c r="AA6" i="93"/>
  <c r="R8" i="94"/>
  <c r="H177" i="92"/>
  <c r="AV6" i="93"/>
  <c r="H169" i="92"/>
  <c r="AW6" i="94"/>
  <c r="AV6" i="94"/>
  <c r="AW6" i="93"/>
  <c r="Z6" i="94"/>
  <c r="AA6" i="94"/>
  <c r="BH11" i="96" l="1"/>
  <c r="H216" i="92"/>
  <c r="F216" i="92" s="1"/>
  <c r="BB83" i="96"/>
  <c r="BC84" i="96" s="1"/>
  <c r="AC107" i="96"/>
  <c r="AF109" i="96" s="1"/>
  <c r="AC6" i="96"/>
  <c r="AF8" i="96" s="1"/>
  <c r="BB83" i="101"/>
  <c r="BC84" i="101" s="1"/>
  <c r="AB6" i="100"/>
  <c r="AC6" i="100" s="1"/>
  <c r="BC6" i="100" s="1"/>
  <c r="BC6" i="98"/>
  <c r="BG107" i="101"/>
  <c r="BG11" i="101" s="1"/>
  <c r="BH11" i="101" s="1"/>
  <c r="AF8" i="101"/>
  <c r="AF6" i="101"/>
  <c r="AB6" i="93"/>
  <c r="AC6" i="93" s="1"/>
  <c r="H180" i="92" s="1"/>
  <c r="AX6" i="93"/>
  <c r="AX6" i="94"/>
  <c r="AY6" i="94" s="1"/>
  <c r="AB6" i="94"/>
  <c r="H198" i="92" s="1"/>
  <c r="BC83" i="101" l="1"/>
  <c r="BF83" i="101" s="1"/>
  <c r="BG10" i="101" s="1"/>
  <c r="BH10" i="101" s="1"/>
  <c r="U241" i="92"/>
  <c r="AB239" i="92"/>
  <c r="J3" i="92"/>
  <c r="AF6" i="96"/>
  <c r="BC83" i="96"/>
  <c r="BF83" i="96" s="1"/>
  <c r="BG10" i="96" s="1"/>
  <c r="AV6" i="101"/>
  <c r="BG8" i="101" s="1"/>
  <c r="BH8" i="101" s="1"/>
  <c r="AU6" i="101"/>
  <c r="BG7" i="101" s="1"/>
  <c r="BH7" i="101" s="1"/>
  <c r="AU6" i="96"/>
  <c r="BG7" i="96" s="1"/>
  <c r="AV6" i="96"/>
  <c r="BG8" i="96" s="1"/>
  <c r="BH8" i="96" s="1"/>
  <c r="H179" i="92"/>
  <c r="AC6" i="94"/>
  <c r="H199" i="92" s="1"/>
  <c r="H202" i="92" s="1"/>
  <c r="AY6" i="93"/>
  <c r="BA6" i="93" s="1"/>
  <c r="H171" i="92"/>
  <c r="BH7" i="96" l="1"/>
  <c r="H227" i="92" s="1"/>
  <c r="H229" i="92" s="1"/>
  <c r="F229" i="92" s="1"/>
  <c r="H226" i="92"/>
  <c r="BH10" i="96"/>
  <c r="BC6" i="94"/>
  <c r="H201" i="92" s="1"/>
  <c r="H204" i="92" s="1"/>
  <c r="H173" i="92"/>
  <c r="H183" i="92" s="1"/>
  <c r="BC6" i="93"/>
  <c r="H182" i="92" s="1"/>
  <c r="AB240" i="92" l="1"/>
  <c r="J4" i="92"/>
  <c r="U242" i="92"/>
  <c r="X245" i="92" s="1"/>
  <c r="H185" i="92"/>
  <c r="F185" i="92" s="1"/>
  <c r="F4" i="92"/>
  <c r="F204" i="92"/>
  <c r="AB238" i="92"/>
  <c r="U240" i="92"/>
  <c r="AB237" i="92" l="1"/>
  <c r="U239" i="92"/>
  <c r="X241" i="92" s="1"/>
  <c r="F3" i="92"/>
  <c r="X244" i="92"/>
  <c r="X243" i="92"/>
  <c r="X242" i="92"/>
  <c r="X239" i="92" l="1"/>
  <c r="H242" i="92" s="1"/>
  <c r="F242" i="92" s="1"/>
  <c r="X240" i="92"/>
  <c r="F5"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tc={23294385-45C6-47A4-A980-0BB7287C3CCB}</author>
  </authors>
  <commentList>
    <comment ref="F50" authorId="0" shapeId="0" xr:uid="{23294385-45C6-47A4-A980-0BB7287C3CCB}">
      <text>
        <t xml:space="preserve">[Commento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"la resistenza a taglio per rotolamento (rolling shear) è approssimativamente uguale al doppio della resistenza a trazione in direzione perpendicolare alla fibratura"
Per quali verifiche si deve adottare la resistenza a "rototaglio"? - promo_legno (promolegno.com)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tc={222E7172-4C1F-4512-94F6-87163B4A7FDD}</author>
  </authors>
  <commentList>
    <comment ref="AM6" authorId="0" shapeId="0" xr:uid="{222E7172-4C1F-4512-94F6-87163B4A7FDD}">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tc={A82E0F57-CE29-4910-A5B7-0FBFC6CF6114}</author>
  </authors>
  <commentList>
    <comment ref="AM6" authorId="0" shapeId="0" xr:uid="{A82E0F57-CE29-4910-A5B7-0FBFC6CF6114}">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<sst xmlns="http://schemas.openxmlformats.org/spreadsheetml/2006/main" count="3364" uniqueCount="1373">
  <si>
    <t>C24</t>
  </si>
  <si>
    <t>GL24h</t>
  </si>
  <si>
    <t>LVL</t>
  </si>
  <si>
    <t>Trave</t>
  </si>
  <si>
    <t>-</t>
  </si>
  <si>
    <t>C50</t>
  </si>
  <si>
    <t>CLT</t>
  </si>
  <si>
    <t>RESISTENZA FINALE</t>
  </si>
  <si>
    <t>Geometria e caratteristiche viti</t>
  </si>
  <si>
    <t>Tipo di vite</t>
  </si>
  <si>
    <t>Diametro</t>
  </si>
  <si>
    <t>Lunghezza</t>
  </si>
  <si>
    <r>
      <t>M</t>
    </r>
    <r>
      <rPr>
        <vertAlign val="subscript"/>
        <sz val="11"/>
        <color theme="1"/>
        <rFont val="Verdana"/>
        <family val="2"/>
      </rPr>
      <t>y,Rk</t>
    </r>
  </si>
  <si>
    <r>
      <t>f</t>
    </r>
    <r>
      <rPr>
        <vertAlign val="subscript"/>
        <sz val="11"/>
        <color theme="1"/>
        <rFont val="Verdana"/>
        <family val="2"/>
      </rPr>
      <t>tens,k</t>
    </r>
  </si>
  <si>
    <t>mm</t>
  </si>
  <si>
    <t>Nmm</t>
  </si>
  <si>
    <t>N</t>
  </si>
  <si>
    <t>LBS525</t>
  </si>
  <si>
    <t>LBS</t>
  </si>
  <si>
    <t>x</t>
  </si>
  <si>
    <t>LBS540</t>
  </si>
  <si>
    <t>LBS550</t>
  </si>
  <si>
    <t>LBS560</t>
  </si>
  <si>
    <t>LBS570</t>
  </si>
  <si>
    <t>LBS760</t>
  </si>
  <si>
    <t>LBS780</t>
  </si>
  <si>
    <t>LBS7100</t>
  </si>
  <si>
    <t>KKF540</t>
  </si>
  <si>
    <t>KKF</t>
  </si>
  <si>
    <t>KKF550</t>
  </si>
  <si>
    <t>KKF560</t>
  </si>
  <si>
    <t>KKF570</t>
  </si>
  <si>
    <t>KKF580</t>
  </si>
  <si>
    <t>KKF590</t>
  </si>
  <si>
    <t>KKF5100</t>
  </si>
  <si>
    <t>KKF680</t>
  </si>
  <si>
    <t>KKF6100</t>
  </si>
  <si>
    <t>KKF6120</t>
  </si>
  <si>
    <t>HBSPEVO550</t>
  </si>
  <si>
    <t>HBS PLATE EVO</t>
  </si>
  <si>
    <t>HBSPEVO560</t>
  </si>
  <si>
    <t>HBSPEVO570</t>
  </si>
  <si>
    <t>HBSPEVO580</t>
  </si>
  <si>
    <t>HBSPEVO680</t>
  </si>
  <si>
    <t>HBSPEVO690</t>
  </si>
  <si>
    <t>Legno</t>
  </si>
  <si>
    <r>
      <t>ρ</t>
    </r>
    <r>
      <rPr>
        <vertAlign val="subscript"/>
        <sz val="10"/>
        <color theme="1"/>
        <rFont val="Verdana"/>
        <family val="2"/>
      </rPr>
      <t>k</t>
    </r>
    <r>
      <rPr>
        <sz val="10"/>
        <color theme="1"/>
        <rFont val="Verdana"/>
        <family val="2"/>
      </rPr>
      <t xml:space="preserve"> 
(kg/m</t>
    </r>
    <r>
      <rPr>
        <vertAlign val="superscript"/>
        <sz val="10"/>
        <color theme="1"/>
        <rFont val="Verdana"/>
        <family val="2"/>
      </rPr>
      <t>3</t>
    </r>
    <r>
      <rPr>
        <sz val="10"/>
        <color theme="1"/>
        <rFont val="Verdana"/>
        <family val="2"/>
      </rPr>
      <t>)</t>
    </r>
  </si>
  <si>
    <t>Modello</t>
  </si>
  <si>
    <t>Altezza</t>
  </si>
  <si>
    <t>Larghezza modulo</t>
  </si>
  <si>
    <t>Numero di connettori per modulo</t>
  </si>
  <si>
    <t>Numero di moduli</t>
  </si>
  <si>
    <r>
      <t>Parte numerica k</t>
    </r>
    <r>
      <rPr>
        <b/>
        <vertAlign val="subscript"/>
        <sz val="10"/>
        <color theme="1"/>
        <rFont val="Verdana"/>
        <family val="2"/>
      </rPr>
      <t>H,2</t>
    </r>
  </si>
  <si>
    <r>
      <t>F</t>
    </r>
    <r>
      <rPr>
        <b/>
        <vertAlign val="subscript"/>
        <sz val="10"/>
        <color theme="1"/>
        <rFont val="Verdana"/>
        <family val="2"/>
      </rPr>
      <t>2,alu,Rk</t>
    </r>
  </si>
  <si>
    <t>kN</t>
  </si>
  <si>
    <t>GL20h</t>
  </si>
  <si>
    <t>Lock-T 80</t>
  </si>
  <si>
    <t>GL22h</t>
  </si>
  <si>
    <t>Lock-T 100</t>
  </si>
  <si>
    <t>Lock-T 120</t>
  </si>
  <si>
    <t>GL26h</t>
  </si>
  <si>
    <t>Lock-T 135</t>
  </si>
  <si>
    <t>GL28h</t>
  </si>
  <si>
    <t>Lock-T 175</t>
  </si>
  <si>
    <t>GL30h</t>
  </si>
  <si>
    <t>Lock-T 215</t>
  </si>
  <si>
    <t>GL32h</t>
  </si>
  <si>
    <t>Lock-T 100 FLOOR</t>
  </si>
  <si>
    <t>GL20c</t>
  </si>
  <si>
    <t>Lock-T 135 FLOOR</t>
  </si>
  <si>
    <t>GL22c</t>
  </si>
  <si>
    <t>GL24c</t>
  </si>
  <si>
    <t>GL26c</t>
  </si>
  <si>
    <t>GL28c</t>
  </si>
  <si>
    <t>GL30c</t>
  </si>
  <si>
    <t>GL32c</t>
  </si>
  <si>
    <t>C14</t>
  </si>
  <si>
    <t>C16</t>
  </si>
  <si>
    <t>C18</t>
  </si>
  <si>
    <t>C20</t>
  </si>
  <si>
    <t>C22</t>
  </si>
  <si>
    <t>C27</t>
  </si>
  <si>
    <t>C30</t>
  </si>
  <si>
    <t>C35</t>
  </si>
  <si>
    <t>C40</t>
  </si>
  <si>
    <t>C45</t>
  </si>
  <si>
    <t>GEOMETRIA LOCK</t>
  </si>
  <si>
    <t>RESISTENZA TRAVE SECONDARIA</t>
  </si>
  <si>
    <t>RESISTENZA TRAVE PRIMARIA</t>
  </si>
  <si>
    <t>RESISTENZA ALLUMINIO</t>
  </si>
  <si>
    <t>Modello 
Lock</t>
  </si>
  <si>
    <t>Altezza
(mm)</t>
  </si>
  <si>
    <t>Modulo</t>
  </si>
  <si>
    <t>Larghezza Lock</t>
  </si>
  <si>
    <t>Spessore Lock 
(mm)</t>
  </si>
  <si>
    <t>Tipo di legno</t>
  </si>
  <si>
    <t>Tipo di connettore</t>
  </si>
  <si>
    <t>Numero connettori</t>
  </si>
  <si>
    <t>d
(mm)</t>
  </si>
  <si>
    <t>l
(mm)</t>
  </si>
  <si>
    <t>Filetto b
(mm)</t>
  </si>
  <si>
    <r>
      <t>M</t>
    </r>
    <r>
      <rPr>
        <vertAlign val="subscript"/>
        <sz val="11"/>
        <color theme="1"/>
        <rFont val="Verdana"/>
        <family val="2"/>
      </rPr>
      <t>y,Rk</t>
    </r>
    <r>
      <rPr>
        <sz val="11"/>
        <color theme="1"/>
        <rFont val="Verdana"/>
        <family val="2"/>
      </rPr>
      <t xml:space="preserve">
(Nmm)</t>
    </r>
  </si>
  <si>
    <r>
      <t>f</t>
    </r>
    <r>
      <rPr>
        <vertAlign val="subscript"/>
        <sz val="11"/>
        <color theme="1"/>
        <rFont val="Verdana"/>
        <family val="2"/>
      </rPr>
      <t>tens,k</t>
    </r>
    <r>
      <rPr>
        <sz val="11"/>
        <color theme="1"/>
        <rFont val="Verdana"/>
        <family val="2"/>
      </rPr>
      <t xml:space="preserve">
(N)</t>
    </r>
  </si>
  <si>
    <r>
      <t>ρ</t>
    </r>
    <r>
      <rPr>
        <vertAlign val="subscript"/>
        <sz val="11"/>
        <color theme="1"/>
        <rFont val="Verdana"/>
        <family val="2"/>
      </rPr>
      <t>k</t>
    </r>
    <r>
      <rPr>
        <sz val="11"/>
        <color theme="1"/>
        <rFont val="Verdana"/>
        <family val="2"/>
      </rPr>
      <t xml:space="preserve"> 
(kg/m</t>
    </r>
    <r>
      <rPr>
        <vertAlign val="superscript"/>
        <sz val="11"/>
        <color theme="1"/>
        <rFont val="Verdana"/>
        <family val="2"/>
      </rPr>
      <t>3</t>
    </r>
    <r>
      <rPr>
        <sz val="11"/>
        <color theme="1"/>
        <rFont val="Verdana"/>
        <family val="2"/>
      </rPr>
      <t>)</t>
    </r>
  </si>
  <si>
    <r>
      <t>f</t>
    </r>
    <r>
      <rPr>
        <vertAlign val="subscript"/>
        <sz val="11"/>
        <color theme="1"/>
        <rFont val="Verdana"/>
        <family val="2"/>
      </rPr>
      <t>h,k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</si>
  <si>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ax,Rk</t>
    </r>
    <r>
      <rPr>
        <sz val="11"/>
        <color theme="1"/>
        <rFont val="Verdana"/>
        <family val="2"/>
      </rPr>
      <t xml:space="preserve">
(N)</t>
    </r>
  </si>
  <si>
    <r>
      <t>F</t>
    </r>
    <r>
      <rPr>
        <vertAlign val="subscript"/>
        <sz val="11"/>
        <color theme="1"/>
        <rFont val="Verdana"/>
        <family val="2"/>
      </rPr>
      <t xml:space="preserve">v,Rk </t>
    </r>
    <r>
      <rPr>
        <sz val="11"/>
        <color theme="1"/>
        <rFont val="Verdana"/>
        <family val="2"/>
      </rPr>
      <t>(a)
(N)</t>
    </r>
  </si>
  <si>
    <r>
      <t>F</t>
    </r>
    <r>
      <rPr>
        <vertAlign val="subscript"/>
        <sz val="11"/>
        <color theme="1"/>
        <rFont val="Verdana"/>
        <family val="2"/>
      </rPr>
      <t xml:space="preserve">v,Rk </t>
    </r>
    <r>
      <rPr>
        <sz val="11"/>
        <color theme="1"/>
        <rFont val="Verdana"/>
        <family val="2"/>
      </rPr>
      <t>(b)
(N)</t>
    </r>
  </si>
  <si>
    <r>
      <t>F</t>
    </r>
    <r>
      <rPr>
        <vertAlign val="subscript"/>
        <sz val="11"/>
        <color theme="1"/>
        <rFont val="Verdana"/>
        <family val="2"/>
      </rPr>
      <t>v,J,Rk</t>
    </r>
    <r>
      <rPr>
        <sz val="11"/>
        <color theme="1"/>
        <rFont val="Verdana"/>
        <family val="2"/>
      </rPr>
      <t xml:space="preserve">
(N)</t>
    </r>
  </si>
  <si>
    <r>
      <t>F</t>
    </r>
    <r>
      <rPr>
        <vertAlign val="subscript"/>
        <sz val="11"/>
        <color theme="1"/>
        <rFont val="Verdana"/>
        <family val="2"/>
      </rPr>
      <t>2,J,Rk</t>
    </r>
    <r>
      <rPr>
        <sz val="11"/>
        <color theme="1"/>
        <rFont val="Verdana"/>
        <family val="2"/>
      </rPr>
      <t xml:space="preserve">
(N)</t>
    </r>
  </si>
  <si>
    <t xml:space="preserve">α
</t>
  </si>
  <si>
    <t>a</t>
  </si>
  <si>
    <t>b</t>
  </si>
  <si>
    <r>
      <t>k</t>
    </r>
    <r>
      <rPr>
        <vertAlign val="subscript"/>
        <sz val="11"/>
        <color theme="1"/>
        <rFont val="Verdana"/>
        <family val="2"/>
      </rPr>
      <t>ax</t>
    </r>
  </si>
  <si>
    <r>
      <t>k</t>
    </r>
    <r>
      <rPr>
        <vertAlign val="subscript"/>
        <sz val="11"/>
        <color theme="1"/>
        <rFont val="Verdana"/>
        <family val="2"/>
      </rPr>
      <t>β</t>
    </r>
  </si>
  <si>
    <r>
      <t>f</t>
    </r>
    <r>
      <rPr>
        <vertAlign val="subscript"/>
        <sz val="11"/>
        <color theme="1"/>
        <rFont val="Verdana"/>
        <family val="2"/>
      </rPr>
      <t>ax,k</t>
    </r>
  </si>
  <si>
    <r>
      <t>F</t>
    </r>
    <r>
      <rPr>
        <vertAlign val="subscript"/>
        <sz val="11"/>
        <color theme="1"/>
        <rFont val="Verdana"/>
        <family val="2"/>
      </rPr>
      <t>ax,H,Rk</t>
    </r>
    <r>
      <rPr>
        <sz val="11"/>
        <color theme="1"/>
        <rFont val="Verdana"/>
        <family val="2"/>
      </rPr>
      <t xml:space="preserve">
(N)</t>
    </r>
  </si>
  <si>
    <r>
      <t>F</t>
    </r>
    <r>
      <rPr>
        <vertAlign val="subscript"/>
        <sz val="11"/>
        <color theme="1"/>
        <rFont val="Verdana"/>
        <family val="2"/>
      </rPr>
      <t>v,H,Rk</t>
    </r>
    <r>
      <rPr>
        <sz val="11"/>
        <color theme="1"/>
        <rFont val="Verdana"/>
        <family val="2"/>
      </rPr>
      <t xml:space="preserve">
(N)</t>
    </r>
  </si>
  <si>
    <r>
      <t>F</t>
    </r>
    <r>
      <rPr>
        <vertAlign val="subscript"/>
        <sz val="11"/>
        <color theme="1"/>
        <rFont val="Verdana"/>
        <family val="2"/>
      </rPr>
      <t>2,H,Rk</t>
    </r>
    <r>
      <rPr>
        <sz val="11"/>
        <color theme="1"/>
        <rFont val="Verdana"/>
        <family val="2"/>
      </rPr>
      <t xml:space="preserve">
(N)</t>
    </r>
  </si>
  <si>
    <r>
      <t>k</t>
    </r>
    <r>
      <rPr>
        <vertAlign val="subscript"/>
        <sz val="11"/>
        <color theme="1"/>
        <rFont val="Verdana"/>
        <family val="2"/>
      </rPr>
      <t>H,2</t>
    </r>
  </si>
  <si>
    <r>
      <t>F</t>
    </r>
    <r>
      <rPr>
        <vertAlign val="subscript"/>
        <sz val="11"/>
        <color theme="1"/>
        <rFont val="Verdana"/>
        <family val="2"/>
      </rPr>
      <t>2,alu,Rk</t>
    </r>
    <r>
      <rPr>
        <sz val="11"/>
        <color theme="1"/>
        <rFont val="Verdana"/>
        <family val="2"/>
      </rPr>
      <t xml:space="preserve">
(N)</t>
    </r>
  </si>
  <si>
    <r>
      <t>F</t>
    </r>
    <r>
      <rPr>
        <vertAlign val="subscript"/>
        <sz val="11"/>
        <color theme="1"/>
        <rFont val="Verdana"/>
        <family val="2"/>
      </rPr>
      <t>2,Rk</t>
    </r>
    <r>
      <rPr>
        <sz val="11"/>
        <color theme="1"/>
        <rFont val="Verdana"/>
        <family val="2"/>
      </rPr>
      <t xml:space="preserve">
(KN)</t>
    </r>
  </si>
  <si>
    <r>
      <t xml:space="preserve">LOCK-T 
</t>
    </r>
    <r>
      <rPr>
        <sz val="12"/>
        <color theme="1"/>
        <rFont val="Verdana"/>
        <family val="2"/>
      </rPr>
      <t xml:space="preserve">CALCOLO RESISTENZA CARATTERISTICA </t>
    </r>
  </si>
  <si>
    <t>β</t>
  </si>
  <si>
    <t>Lock-T 240</t>
  </si>
  <si>
    <t>Lock-T 265</t>
  </si>
  <si>
    <t>Lock-T 290</t>
  </si>
  <si>
    <r>
      <t>F</t>
    </r>
    <r>
      <rPr>
        <vertAlign val="subscript"/>
        <sz val="11"/>
        <color theme="1"/>
        <rFont val="Verdana"/>
        <family val="2"/>
      </rPr>
      <t>3,Rk</t>
    </r>
    <r>
      <rPr>
        <sz val="11"/>
        <color theme="1"/>
        <rFont val="Verdana"/>
        <family val="2"/>
      </rPr>
      <t xml:space="preserve">
(KN)</t>
    </r>
  </si>
  <si>
    <r>
      <t>F</t>
    </r>
    <r>
      <rPr>
        <vertAlign val="subscript"/>
        <sz val="11"/>
        <color theme="1"/>
        <rFont val="Verdana"/>
        <family val="2"/>
      </rPr>
      <t>3,H,Rk</t>
    </r>
    <r>
      <rPr>
        <sz val="11"/>
        <color theme="1"/>
        <rFont val="Verdana"/>
        <family val="2"/>
      </rPr>
      <t xml:space="preserve">
(N)</t>
    </r>
  </si>
  <si>
    <r>
      <t>F</t>
    </r>
    <r>
      <rPr>
        <vertAlign val="subscript"/>
        <sz val="11"/>
        <color theme="1"/>
        <rFont val="Verdana"/>
        <family val="2"/>
      </rPr>
      <t>3,J,Rk</t>
    </r>
    <r>
      <rPr>
        <sz val="11"/>
        <color theme="1"/>
        <rFont val="Verdana"/>
        <family val="2"/>
      </rPr>
      <t xml:space="preserve">
(N)</t>
    </r>
  </si>
  <si>
    <t>Numero di connettori inclinati per modulo</t>
  </si>
  <si>
    <t>B</t>
  </si>
  <si>
    <t>H</t>
  </si>
  <si>
    <t>Tipologia di legno</t>
  </si>
  <si>
    <t>Scelta del connettore</t>
  </si>
  <si>
    <t>Base della trave</t>
  </si>
  <si>
    <t>Altezza della trave</t>
  </si>
  <si>
    <t>Classe di servizio</t>
  </si>
  <si>
    <t xml:space="preserve">Classe di durata del carico </t>
  </si>
  <si>
    <r>
      <t>γ</t>
    </r>
    <r>
      <rPr>
        <vertAlign val="subscript"/>
        <sz val="11"/>
        <color theme="1"/>
        <rFont val="Verdana"/>
        <family val="2"/>
      </rPr>
      <t>M</t>
    </r>
  </si>
  <si>
    <t>Permanente</t>
  </si>
  <si>
    <t>classe di servizio</t>
  </si>
  <si>
    <t>colonna A</t>
  </si>
  <si>
    <t>colonna B</t>
  </si>
  <si>
    <t>unioni</t>
  </si>
  <si>
    <t>NO</t>
  </si>
  <si>
    <t>Lunga durata</t>
  </si>
  <si>
    <t>Media durata</t>
  </si>
  <si>
    <t>Breve durata</t>
  </si>
  <si>
    <r>
      <t>F</t>
    </r>
    <r>
      <rPr>
        <b/>
        <vertAlign val="subscript"/>
        <sz val="10"/>
        <color theme="1"/>
        <rFont val="Verdana"/>
        <family val="2"/>
      </rPr>
      <t>1,alu,Rk</t>
    </r>
  </si>
  <si>
    <r>
      <t>k</t>
    </r>
    <r>
      <rPr>
        <b/>
        <vertAlign val="subscript"/>
        <sz val="10"/>
        <color theme="1"/>
        <rFont val="Verdana"/>
        <family val="2"/>
      </rPr>
      <t>LOCK</t>
    </r>
  </si>
  <si>
    <r>
      <t>k</t>
    </r>
    <r>
      <rPr>
        <vertAlign val="subscript"/>
        <sz val="11"/>
        <color theme="1"/>
        <rFont val="Verdana"/>
        <family val="2"/>
      </rPr>
      <t>LOCK</t>
    </r>
  </si>
  <si>
    <r>
      <t>F</t>
    </r>
    <r>
      <rPr>
        <vertAlign val="subscript"/>
        <sz val="11"/>
        <color theme="1"/>
        <rFont val="Verdana"/>
        <family val="2"/>
      </rPr>
      <t>1,alu,Rk</t>
    </r>
    <r>
      <rPr>
        <sz val="11"/>
        <color theme="1"/>
        <rFont val="Verdana"/>
        <family val="2"/>
      </rPr>
      <t xml:space="preserve">
(N)</t>
    </r>
  </si>
  <si>
    <r>
      <t>F</t>
    </r>
    <r>
      <rPr>
        <vertAlign val="subscript"/>
        <sz val="11"/>
        <color theme="1"/>
        <rFont val="Verdana"/>
        <family val="2"/>
      </rPr>
      <t>ax,J,Rk</t>
    </r>
    <r>
      <rPr>
        <sz val="11"/>
        <color theme="1"/>
        <rFont val="Verdana"/>
        <family val="2"/>
      </rPr>
      <t>/k</t>
    </r>
    <r>
      <rPr>
        <vertAlign val="subscript"/>
        <sz val="11"/>
        <color theme="1"/>
        <rFont val="Verdana"/>
        <family val="2"/>
      </rPr>
      <t xml:space="preserve">LOCK </t>
    </r>
    <r>
      <rPr>
        <sz val="11"/>
        <color theme="1"/>
        <rFont val="Verdana"/>
        <family val="2"/>
      </rPr>
      <t>(a)
(N)</t>
    </r>
  </si>
  <si>
    <r>
      <t>F</t>
    </r>
    <r>
      <rPr>
        <vertAlign val="subscript"/>
        <sz val="11"/>
        <color theme="1"/>
        <rFont val="Verdana"/>
        <family val="2"/>
      </rPr>
      <t>tens,J,k</t>
    </r>
    <r>
      <rPr>
        <sz val="11"/>
        <color theme="1"/>
        <rFont val="Verdana"/>
        <family val="2"/>
      </rPr>
      <t xml:space="preserve">
(N)</t>
    </r>
  </si>
  <si>
    <r>
      <t>F</t>
    </r>
    <r>
      <rPr>
        <vertAlign val="subscript"/>
        <sz val="11"/>
        <color theme="1"/>
        <rFont val="Verdana"/>
        <family val="2"/>
      </rPr>
      <t>tens,H,k</t>
    </r>
    <r>
      <rPr>
        <sz val="11"/>
        <color theme="1"/>
        <rFont val="Verdana"/>
        <family val="2"/>
      </rPr>
      <t xml:space="preserve">
(N)</t>
    </r>
  </si>
  <si>
    <r>
      <t>F</t>
    </r>
    <r>
      <rPr>
        <vertAlign val="subscript"/>
        <sz val="11"/>
        <color theme="1"/>
        <rFont val="Verdana"/>
        <family val="2"/>
      </rPr>
      <t>ax,H,Rk</t>
    </r>
    <r>
      <rPr>
        <sz val="11"/>
        <color theme="1"/>
        <rFont val="Verdana"/>
        <family val="2"/>
      </rPr>
      <t>/k</t>
    </r>
    <r>
      <rPr>
        <vertAlign val="subscript"/>
        <sz val="11"/>
        <color theme="1"/>
        <rFont val="Verdana"/>
        <family val="2"/>
      </rPr>
      <t xml:space="preserve">LOCK </t>
    </r>
    <r>
      <rPr>
        <sz val="11"/>
        <color theme="1"/>
        <rFont val="Verdana"/>
        <family val="2"/>
      </rPr>
      <t>(a)
(N)</t>
    </r>
  </si>
  <si>
    <r>
      <t>Area lock
A</t>
    </r>
    <r>
      <rPr>
        <b/>
        <vertAlign val="subscript"/>
        <sz val="10"/>
        <color theme="1"/>
        <rFont val="Verdana"/>
        <family val="2"/>
      </rPr>
      <t>LOCK</t>
    </r>
  </si>
  <si>
    <t>mmq</t>
  </si>
  <si>
    <t>N/mmq</t>
  </si>
  <si>
    <r>
      <t>f</t>
    </r>
    <r>
      <rPr>
        <vertAlign val="subscript"/>
        <sz val="10"/>
        <color theme="1"/>
        <rFont val="Verdana"/>
        <family val="2"/>
      </rPr>
      <t>c,0,k</t>
    </r>
  </si>
  <si>
    <r>
      <t>f</t>
    </r>
    <r>
      <rPr>
        <vertAlign val="subscript"/>
        <sz val="10"/>
        <color theme="1"/>
        <rFont val="Verdana"/>
        <family val="2"/>
      </rPr>
      <t>c,90,k</t>
    </r>
  </si>
  <si>
    <r>
      <t>n</t>
    </r>
    <r>
      <rPr>
        <vertAlign val="subscript"/>
        <sz val="10"/>
        <color theme="1"/>
        <rFont val="Verdana"/>
        <family val="2"/>
      </rPr>
      <t>M</t>
    </r>
  </si>
  <si>
    <r>
      <t>n</t>
    </r>
    <r>
      <rPr>
        <vertAlign val="subscript"/>
        <sz val="10"/>
        <color theme="1"/>
        <rFont val="Verdana"/>
        <family val="2"/>
      </rPr>
      <t>ef</t>
    </r>
  </si>
  <si>
    <r>
      <t>k</t>
    </r>
    <r>
      <rPr>
        <vertAlign val="subscript"/>
        <sz val="10"/>
        <color theme="1"/>
        <rFont val="Verdana"/>
        <family val="2"/>
      </rPr>
      <t>lat</t>
    </r>
  </si>
  <si>
    <r>
      <t>f</t>
    </r>
    <r>
      <rPr>
        <vertAlign val="subscript"/>
        <sz val="11"/>
        <color theme="1"/>
        <rFont val="Verdana"/>
        <family val="2"/>
      </rPr>
      <t>c,0,k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</si>
  <si>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c,90,k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</si>
  <si>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c,90</t>
    </r>
  </si>
  <si>
    <r>
      <t>A</t>
    </r>
    <r>
      <rPr>
        <vertAlign val="subscript"/>
        <sz val="11"/>
        <color theme="1"/>
        <rFont val="Verdana"/>
        <family val="2"/>
      </rPr>
      <t>LOCK</t>
    </r>
    <r>
      <rPr>
        <sz val="11"/>
        <color theme="1"/>
        <rFont val="Verdana"/>
        <family val="2"/>
      </rPr>
      <t xml:space="preserve">
(mm</t>
    </r>
    <r>
      <rPr>
        <vertAlign val="superscript"/>
        <sz val="11"/>
        <color theme="1"/>
        <rFont val="Verdana"/>
        <family val="2"/>
      </rPr>
      <t>2</t>
    </r>
    <r>
      <rPr>
        <sz val="11"/>
        <color theme="1"/>
        <rFont val="Verdana"/>
        <family val="2"/>
      </rPr>
      <t>)</t>
    </r>
  </si>
  <si>
    <t>B
(mm)</t>
  </si>
  <si>
    <r>
      <t>b</t>
    </r>
    <r>
      <rPr>
        <vertAlign val="subscript"/>
        <sz val="11"/>
        <color theme="1"/>
        <rFont val="Verdana"/>
        <family val="2"/>
      </rPr>
      <t>C</t>
    </r>
    <r>
      <rPr>
        <sz val="11"/>
        <color theme="1"/>
        <rFont val="Verdana"/>
        <family val="2"/>
      </rPr>
      <t xml:space="preserve">
(mm)</t>
    </r>
  </si>
  <si>
    <r>
      <t>f</t>
    </r>
    <r>
      <rPr>
        <vertAlign val="subscript"/>
        <sz val="11"/>
        <color theme="1"/>
        <rFont val="Verdana"/>
        <family val="2"/>
      </rPr>
      <t>r,k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</si>
  <si>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45,J,Rk</t>
    </r>
    <r>
      <rPr>
        <sz val="11"/>
        <color theme="1"/>
        <rFont val="Verdana"/>
        <family val="2"/>
      </rPr>
      <t xml:space="preserve">
(N)</t>
    </r>
  </si>
  <si>
    <r>
      <t>n</t>
    </r>
    <r>
      <rPr>
        <vertAlign val="subscript"/>
        <sz val="11"/>
        <color theme="1"/>
        <rFont val="Verdana"/>
        <family val="2"/>
      </rPr>
      <t>ef</t>
    </r>
  </si>
  <si>
    <r>
      <t>k</t>
    </r>
    <r>
      <rPr>
        <vertAlign val="subscript"/>
        <sz val="11"/>
        <color theme="1"/>
        <rFont val="Verdana"/>
        <family val="2"/>
      </rPr>
      <t>lat</t>
    </r>
  </si>
  <si>
    <r>
      <t>F</t>
    </r>
    <r>
      <rPr>
        <vertAlign val="subscript"/>
        <sz val="11"/>
        <color theme="1"/>
        <rFont val="Verdana"/>
        <family val="2"/>
      </rPr>
      <t xml:space="preserve">45,H,Rk </t>
    </r>
    <r>
      <rPr>
        <sz val="11"/>
        <color theme="1"/>
        <rFont val="Verdana"/>
        <family val="2"/>
      </rPr>
      <t>(a)
(N)</t>
    </r>
  </si>
  <si>
    <r>
      <t>F</t>
    </r>
    <r>
      <rPr>
        <vertAlign val="subscript"/>
        <sz val="11"/>
        <color theme="1"/>
        <rFont val="Verdana"/>
        <family val="2"/>
      </rPr>
      <t xml:space="preserve">45,H,Rk </t>
    </r>
    <r>
      <rPr>
        <sz val="11"/>
        <color theme="1"/>
        <rFont val="Verdana"/>
        <family val="2"/>
      </rPr>
      <t>(b)
(N)</t>
    </r>
  </si>
  <si>
    <r>
      <t>F</t>
    </r>
    <r>
      <rPr>
        <vertAlign val="subscript"/>
        <sz val="11"/>
        <color theme="1"/>
        <rFont val="Verdana"/>
        <family val="2"/>
      </rPr>
      <t xml:space="preserve">45,H,Rk </t>
    </r>
    <r>
      <rPr>
        <sz val="11"/>
        <color theme="1"/>
        <rFont val="Verdana"/>
        <family val="2"/>
      </rPr>
      <t>(c)
(N)</t>
    </r>
  </si>
  <si>
    <t>α</t>
  </si>
  <si>
    <t>Notch in header beam</t>
  </si>
  <si>
    <t>Notch in column</t>
  </si>
  <si>
    <t>Notch in joist</t>
  </si>
  <si>
    <t>RESISTENZA FINALE B.5</t>
  </si>
  <si>
    <t>RESISTENZA FINALE B.4</t>
  </si>
  <si>
    <r>
      <t>f</t>
    </r>
    <r>
      <rPr>
        <vertAlign val="subscript"/>
        <sz val="10"/>
        <color theme="1"/>
        <rFont val="Verdana"/>
        <family val="2"/>
      </rPr>
      <t>v,k</t>
    </r>
  </si>
  <si>
    <r>
      <t>f</t>
    </r>
    <r>
      <rPr>
        <vertAlign val="subscript"/>
        <sz val="11"/>
        <color theme="1"/>
        <rFont val="Verdana"/>
        <family val="2"/>
      </rPr>
      <t>v,k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</si>
  <si>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v</t>
    </r>
  </si>
  <si>
    <r>
      <t>F</t>
    </r>
    <r>
      <rPr>
        <vertAlign val="subscript"/>
        <sz val="11"/>
        <color theme="1"/>
        <rFont val="Verdana"/>
        <family val="2"/>
      </rPr>
      <t>45,H,Rk</t>
    </r>
    <r>
      <rPr>
        <sz val="11"/>
        <color theme="1"/>
        <rFont val="Verdana"/>
        <family val="2"/>
      </rPr>
      <t xml:space="preserve">
(N)</t>
    </r>
  </si>
  <si>
    <r>
      <t>F</t>
    </r>
    <r>
      <rPr>
        <vertAlign val="subscript"/>
        <sz val="11"/>
        <color theme="1"/>
        <rFont val="Verdana"/>
        <family val="2"/>
      </rPr>
      <t xml:space="preserve">45,J,Rk </t>
    </r>
    <r>
      <rPr>
        <sz val="11"/>
        <color theme="1"/>
        <rFont val="Verdana"/>
        <family val="2"/>
      </rPr>
      <t>(a)
(N)</t>
    </r>
  </si>
  <si>
    <r>
      <t>F</t>
    </r>
    <r>
      <rPr>
        <vertAlign val="subscript"/>
        <sz val="11"/>
        <color theme="1"/>
        <rFont val="Verdana"/>
        <family val="2"/>
      </rPr>
      <t xml:space="preserve">45,J,Rk </t>
    </r>
    <r>
      <rPr>
        <sz val="11"/>
        <color theme="1"/>
        <rFont val="Verdana"/>
        <family val="2"/>
      </rPr>
      <t>(b)
(N)</t>
    </r>
  </si>
  <si>
    <r>
      <t>b</t>
    </r>
    <r>
      <rPr>
        <vertAlign val="subscript"/>
        <sz val="11"/>
        <color theme="1"/>
        <rFont val="Verdana"/>
        <family val="2"/>
      </rPr>
      <t>J</t>
    </r>
    <r>
      <rPr>
        <sz val="11"/>
        <color theme="1"/>
        <rFont val="Verdana"/>
        <family val="2"/>
      </rPr>
      <t xml:space="preserve">
(mm)</t>
    </r>
  </si>
  <si>
    <r>
      <t>k</t>
    </r>
    <r>
      <rPr>
        <vertAlign val="subscript"/>
        <sz val="11"/>
        <color theme="1"/>
        <rFont val="Verdana"/>
        <family val="2"/>
      </rPr>
      <t>n</t>
    </r>
  </si>
  <si>
    <t>i</t>
  </si>
  <si>
    <t>RESISTENZA FINALE B.6</t>
  </si>
  <si>
    <r>
      <t>F</t>
    </r>
    <r>
      <rPr>
        <vertAlign val="subscript"/>
        <sz val="11"/>
        <color theme="1"/>
        <rFont val="Verdana"/>
        <family val="2"/>
      </rPr>
      <t>v,in,Rk</t>
    </r>
    <r>
      <rPr>
        <sz val="11"/>
        <color theme="1"/>
        <rFont val="Verdana"/>
        <family val="2"/>
      </rPr>
      <t xml:space="preserve">
(N)</t>
    </r>
  </si>
  <si>
    <t>Numero connettori inclinati</t>
  </si>
  <si>
    <t>My,Rk
(Nmm)</t>
  </si>
  <si>
    <t>ftens,k
(N)</t>
  </si>
  <si>
    <t>ρk 
(kg/m3)</t>
  </si>
  <si>
    <t>fh,k
(N/mm2)</t>
  </si>
  <si>
    <t>kax</t>
  </si>
  <si>
    <t>kβ</t>
  </si>
  <si>
    <t>fax,k</t>
  </si>
  <si>
    <t>Fv,Rk (a)
(N)</t>
  </si>
  <si>
    <t>Fv,Rk (b)
(N)</t>
  </si>
  <si>
    <t>Fv,J,Rk
(N)</t>
  </si>
  <si>
    <t>F2,J,Rk
(N)</t>
  </si>
  <si>
    <t>Fax,H,Rk
(N)</t>
  </si>
  <si>
    <t>Fv,H,Rk
(N)</t>
  </si>
  <si>
    <t>F2,H,Rk
(N)</t>
  </si>
  <si>
    <t>F2,Rk
(KN)</t>
  </si>
  <si>
    <t>RESISTENZA LOCK STOP</t>
  </si>
  <si>
    <t>FLOCKSTOP,Rk
(N)</t>
  </si>
  <si>
    <t>fy,k
(N/mmq)</t>
  </si>
  <si>
    <t>LOCK STOP</t>
  </si>
  <si>
    <t>Inclined screw</t>
  </si>
  <si>
    <t>Intaglio trave principale</t>
  </si>
  <si>
    <t>Intaglio colonna</t>
  </si>
  <si>
    <t>Intaglio trave secondaria</t>
  </si>
  <si>
    <t>Viti inclinate</t>
  </si>
  <si>
    <t>Numero di moduli standard</t>
  </si>
  <si>
    <t xml:space="preserve">Numero di connettori </t>
  </si>
  <si>
    <t>B.4</t>
  </si>
  <si>
    <t>B.5</t>
  </si>
  <si>
    <t>B.6</t>
  </si>
  <si>
    <t>B.7</t>
  </si>
  <si>
    <t>B.8</t>
  </si>
  <si>
    <r>
      <t>F</t>
    </r>
    <r>
      <rPr>
        <vertAlign val="subscript"/>
        <sz val="11"/>
        <color theme="1"/>
        <rFont val="Verdana"/>
        <family val="2"/>
      </rPr>
      <t>45,Rk</t>
    </r>
    <r>
      <rPr>
        <sz val="11"/>
        <color theme="1"/>
        <rFont val="Verdana"/>
        <family val="2"/>
      </rPr>
      <t xml:space="preserve">
(kN)</t>
    </r>
  </si>
  <si>
    <r>
      <t>F</t>
    </r>
    <r>
      <rPr>
        <vertAlign val="subscript"/>
        <sz val="11"/>
        <color theme="1"/>
        <rFont val="Verdana"/>
        <family val="2"/>
      </rPr>
      <t>1,H,Rk</t>
    </r>
    <r>
      <rPr>
        <sz val="11"/>
        <color theme="1"/>
        <rFont val="Verdana"/>
        <family val="2"/>
      </rPr>
      <t xml:space="preserve">
primaria
(N)</t>
    </r>
  </si>
  <si>
    <r>
      <t>F</t>
    </r>
    <r>
      <rPr>
        <vertAlign val="subscript"/>
        <sz val="11"/>
        <color theme="1"/>
        <rFont val="Verdana"/>
        <family val="2"/>
      </rPr>
      <t>1,J,Rk</t>
    </r>
    <r>
      <rPr>
        <sz val="11"/>
        <color theme="1"/>
        <rFont val="Verdana"/>
        <family val="2"/>
      </rPr>
      <t xml:space="preserve">
secondaria
(N)</t>
    </r>
  </si>
  <si>
    <r>
      <t>F</t>
    </r>
    <r>
      <rPr>
        <vertAlign val="subscript"/>
        <sz val="11"/>
        <color theme="1"/>
        <rFont val="Verdana"/>
        <family val="2"/>
      </rPr>
      <t>1,Rk</t>
    </r>
    <r>
      <rPr>
        <sz val="11"/>
        <color theme="1"/>
        <rFont val="Verdana"/>
        <family val="2"/>
      </rPr>
      <t xml:space="preserve">
(kN)</t>
    </r>
  </si>
  <si>
    <r>
      <t>f</t>
    </r>
    <r>
      <rPr>
        <vertAlign val="subscript"/>
        <sz val="10"/>
        <color theme="1"/>
        <rFont val="Verdana"/>
        <family val="2"/>
      </rPr>
      <t>r,k</t>
    </r>
  </si>
  <si>
    <r>
      <t>F</t>
    </r>
    <r>
      <rPr>
        <vertAlign val="subscript"/>
        <sz val="11"/>
        <color theme="1"/>
        <rFont val="Verdana"/>
        <family val="2"/>
      </rPr>
      <t xml:space="preserve">v,Rk </t>
    </r>
    <r>
      <rPr>
        <sz val="11"/>
        <color theme="1"/>
        <rFont val="Verdana"/>
        <family val="2"/>
      </rPr>
      <t>(d)
(N)</t>
    </r>
  </si>
  <si>
    <t>spessore inclinato</t>
  </si>
  <si>
    <t>trave  90°</t>
  </si>
  <si>
    <t>trave  45°</t>
  </si>
  <si>
    <r>
      <t>F</t>
    </r>
    <r>
      <rPr>
        <vertAlign val="subscript"/>
        <sz val="11"/>
        <color theme="1"/>
        <rFont val="Verdana"/>
        <family val="2"/>
      </rPr>
      <t xml:space="preserve">v,Rk </t>
    </r>
    <r>
      <rPr>
        <sz val="11"/>
        <color theme="1"/>
        <rFont val="Verdana"/>
        <family val="2"/>
      </rPr>
      <t>(c)
(N)</t>
    </r>
  </si>
  <si>
    <r>
      <t>F</t>
    </r>
    <r>
      <rPr>
        <vertAlign val="subscript"/>
        <sz val="11"/>
        <color theme="1"/>
        <rFont val="Verdana"/>
        <family val="2"/>
      </rPr>
      <t xml:space="preserve">v,Rk </t>
    </r>
    <r>
      <rPr>
        <sz val="11"/>
        <color theme="1"/>
        <rFont val="Verdana"/>
        <family val="2"/>
      </rPr>
      <t>(e)
(N)</t>
    </r>
  </si>
  <si>
    <t>spessore per vite inclinata [mm]</t>
  </si>
  <si>
    <t>spessore lock</t>
  </si>
  <si>
    <t>Pilastro</t>
  </si>
  <si>
    <r>
      <t>F</t>
    </r>
    <r>
      <rPr>
        <vertAlign val="subscript"/>
        <sz val="11"/>
        <color theme="1"/>
        <rFont val="Verdana"/>
        <family val="2"/>
      </rPr>
      <t xml:space="preserve">ax,Rk </t>
    </r>
    <r>
      <rPr>
        <sz val="11"/>
        <color theme="1"/>
        <rFont val="Verdana"/>
        <family val="2"/>
      </rPr>
      <t>[90°]
(N)</t>
    </r>
  </si>
  <si>
    <r>
      <t>F</t>
    </r>
    <r>
      <rPr>
        <vertAlign val="subscript"/>
        <sz val="11"/>
        <color theme="1"/>
        <rFont val="Verdana"/>
        <family val="2"/>
      </rPr>
      <t xml:space="preserve">ax,Rk </t>
    </r>
    <r>
      <rPr>
        <sz val="11"/>
        <color theme="1"/>
        <rFont val="Verdana"/>
        <family val="2"/>
      </rPr>
      <t>[0°]
(N)</t>
    </r>
  </si>
  <si>
    <t>MIN FTENS???</t>
  </si>
  <si>
    <r>
      <t>F2</t>
    </r>
    <r>
      <rPr>
        <vertAlign val="subscript"/>
        <sz val="11"/>
        <color theme="1"/>
        <rFont val="Verdana"/>
        <family val="2"/>
      </rPr>
      <t>,J,Rk</t>
    </r>
    <r>
      <rPr>
        <sz val="11"/>
        <color theme="1"/>
        <rFont val="Verdana"/>
        <family val="2"/>
      </rPr>
      <t xml:space="preserve">
(N)</t>
    </r>
  </si>
  <si>
    <t>Orientamento elemento primario</t>
  </si>
  <si>
    <t>Tipologia di connettore LOCK STOP</t>
  </si>
  <si>
    <t>SW &amp; HW</t>
  </si>
  <si>
    <t>pre-drilled</t>
  </si>
  <si>
    <t>non pre-drilled</t>
  </si>
  <si>
    <t>embedding strength ETA</t>
  </si>
  <si>
    <t>per clt come parete ho considerato come fosse SW</t>
  </si>
  <si>
    <t>altezza lock [mm]</t>
  </si>
  <si>
    <t>Coefficiente di sicurezza alluminio</t>
  </si>
  <si>
    <t>dimensioni minime</t>
  </si>
  <si>
    <t>dimensioni minime senza preforo</t>
  </si>
  <si>
    <t>Data</t>
  </si>
  <si>
    <t>Progetto</t>
  </si>
  <si>
    <t>[kN]</t>
  </si>
  <si>
    <t xml:space="preserve">1. Informazioni generali </t>
  </si>
  <si>
    <t>Progettista</t>
  </si>
  <si>
    <t>[mm]</t>
  </si>
  <si>
    <t>[-]</t>
  </si>
  <si>
    <t>[°]</t>
  </si>
  <si>
    <t>Azione assiale</t>
  </si>
  <si>
    <t>Azione laterale</t>
  </si>
  <si>
    <r>
      <t>F</t>
    </r>
    <r>
      <rPr>
        <b/>
        <vertAlign val="subscript"/>
        <sz val="11"/>
        <color theme="1"/>
        <rFont val="Verdana"/>
        <family val="2"/>
      </rPr>
      <t>V,Rk</t>
    </r>
  </si>
  <si>
    <r>
      <t>F</t>
    </r>
    <r>
      <rPr>
        <b/>
        <vertAlign val="subscript"/>
        <sz val="11"/>
        <color theme="1"/>
        <rFont val="Verdana"/>
        <family val="2"/>
      </rPr>
      <t>V,Rd</t>
    </r>
  </si>
  <si>
    <r>
      <t>F</t>
    </r>
    <r>
      <rPr>
        <b/>
        <vertAlign val="subscript"/>
        <sz val="11"/>
        <color theme="1"/>
        <rFont val="Verdana"/>
        <family val="2"/>
      </rPr>
      <t>UP,Rk</t>
    </r>
  </si>
  <si>
    <r>
      <t>F</t>
    </r>
    <r>
      <rPr>
        <b/>
        <vertAlign val="subscript"/>
        <sz val="11"/>
        <color theme="1"/>
        <rFont val="Verdana"/>
        <family val="2"/>
      </rPr>
      <t>UP,Rd</t>
    </r>
  </si>
  <si>
    <r>
      <t>F</t>
    </r>
    <r>
      <rPr>
        <b/>
        <vertAlign val="subscript"/>
        <sz val="11"/>
        <color theme="1"/>
        <rFont val="Verdana"/>
        <family val="2"/>
      </rPr>
      <t>1,Rk</t>
    </r>
  </si>
  <si>
    <r>
      <t>F</t>
    </r>
    <r>
      <rPr>
        <b/>
        <vertAlign val="subscript"/>
        <sz val="11"/>
        <color theme="1"/>
        <rFont val="Verdana"/>
        <family val="2"/>
      </rPr>
      <t>1,Rd</t>
    </r>
  </si>
  <si>
    <r>
      <t>F</t>
    </r>
    <r>
      <rPr>
        <b/>
        <vertAlign val="subscript"/>
        <sz val="11"/>
        <color theme="1"/>
        <rFont val="Verdana"/>
        <family val="2"/>
      </rPr>
      <t>45,Rk</t>
    </r>
  </si>
  <si>
    <r>
      <t>F</t>
    </r>
    <r>
      <rPr>
        <b/>
        <vertAlign val="subscript"/>
        <sz val="11"/>
        <color theme="1"/>
        <rFont val="Verdana"/>
        <family val="2"/>
      </rPr>
      <t>45,Rd</t>
    </r>
  </si>
  <si>
    <r>
      <t>k</t>
    </r>
    <r>
      <rPr>
        <b/>
        <vertAlign val="subscript"/>
        <sz val="11"/>
        <color theme="1"/>
        <rFont val="Verdana"/>
        <family val="2"/>
      </rPr>
      <t>mod</t>
    </r>
  </si>
  <si>
    <r>
      <t>γ</t>
    </r>
    <r>
      <rPr>
        <b/>
        <vertAlign val="subscript"/>
        <sz val="11"/>
        <color theme="1"/>
        <rFont val="Verdana"/>
        <family val="2"/>
      </rPr>
      <t>M</t>
    </r>
  </si>
  <si>
    <t>Viti fissaggio trave secondaria</t>
  </si>
  <si>
    <t>Resistenza di design</t>
  </si>
  <si>
    <t>Resistenza caratteristica</t>
  </si>
  <si>
    <t>Angolo nel piano verticale</t>
  </si>
  <si>
    <t>Versione con rivestimento C4 EVO</t>
  </si>
  <si>
    <t>LOCKT</t>
  </si>
  <si>
    <t>LOCKTFLOOR</t>
  </si>
  <si>
    <t>Diametro nominale</t>
  </si>
  <si>
    <t>Diametro nocciolo</t>
  </si>
  <si>
    <t>Diametro testa</t>
  </si>
  <si>
    <t>Lunghezza filetto</t>
  </si>
  <si>
    <t>Parametro caratteristico estrazione</t>
  </si>
  <si>
    <t>Densità associata</t>
  </si>
  <si>
    <t>Resistenza caratteristica a trazione</t>
  </si>
  <si>
    <t>L</t>
  </si>
  <si>
    <r>
      <t>d</t>
    </r>
    <r>
      <rPr>
        <b/>
        <vertAlign val="subscript"/>
        <sz val="9"/>
        <rFont val="Verdana"/>
        <family val="2"/>
      </rPr>
      <t>1</t>
    </r>
  </si>
  <si>
    <r>
      <t>d</t>
    </r>
    <r>
      <rPr>
        <b/>
        <vertAlign val="subscript"/>
        <sz val="9"/>
        <rFont val="Verdana"/>
        <family val="2"/>
      </rPr>
      <t>2</t>
    </r>
  </si>
  <si>
    <r>
      <t>d</t>
    </r>
    <r>
      <rPr>
        <b/>
        <vertAlign val="subscript"/>
        <sz val="9"/>
        <rFont val="Verdana"/>
        <family val="2"/>
      </rPr>
      <t>k</t>
    </r>
  </si>
  <si>
    <r>
      <t>s</t>
    </r>
    <r>
      <rPr>
        <b/>
        <vertAlign val="subscript"/>
        <sz val="9"/>
        <rFont val="Verdana"/>
        <family val="2"/>
      </rPr>
      <t>g</t>
    </r>
  </si>
  <si>
    <r>
      <t>f</t>
    </r>
    <r>
      <rPr>
        <b/>
        <vertAlign val="subscript"/>
        <sz val="9"/>
        <rFont val="Verdana"/>
        <family val="2"/>
      </rPr>
      <t>ax,k</t>
    </r>
  </si>
  <si>
    <r>
      <t>ρ</t>
    </r>
    <r>
      <rPr>
        <b/>
        <vertAlign val="subscript"/>
        <sz val="9"/>
        <rFont val="Verdana"/>
        <family val="2"/>
      </rPr>
      <t>a,ax</t>
    </r>
  </si>
  <si>
    <r>
      <t>f</t>
    </r>
    <r>
      <rPr>
        <b/>
        <vertAlign val="subscript"/>
        <sz val="9"/>
        <rFont val="Verdana"/>
        <family val="2"/>
      </rPr>
      <t>tens,k</t>
    </r>
  </si>
  <si>
    <t>Codice viti</t>
  </si>
  <si>
    <r>
      <t>[N/mm</t>
    </r>
    <r>
      <rPr>
        <b/>
        <vertAlign val="superscript"/>
        <sz val="10"/>
        <rFont val="Verdana"/>
        <family val="2"/>
      </rPr>
      <t>2</t>
    </r>
    <r>
      <rPr>
        <b/>
        <sz val="11"/>
        <color theme="1"/>
        <rFont val="Verdana"/>
        <family val="2"/>
      </rPr>
      <t>]</t>
    </r>
  </si>
  <si>
    <r>
      <t>[Kg/m</t>
    </r>
    <r>
      <rPr>
        <b/>
        <vertAlign val="superscript"/>
        <sz val="10"/>
        <rFont val="Verdana"/>
        <family val="2"/>
      </rPr>
      <t>3</t>
    </r>
    <r>
      <rPr>
        <b/>
        <sz val="11"/>
        <color theme="1"/>
        <rFont val="Verdana"/>
        <family val="2"/>
      </rPr>
      <t>]</t>
    </r>
  </si>
  <si>
    <t>Codice del connettore utilizzato</t>
  </si>
  <si>
    <t>Base</t>
  </si>
  <si>
    <t>Spessore</t>
  </si>
  <si>
    <t>Fori</t>
  </si>
  <si>
    <t>[/-mm]</t>
  </si>
  <si>
    <r>
      <t>n</t>
    </r>
    <r>
      <rPr>
        <b/>
        <vertAlign val="subscript"/>
        <sz val="11"/>
        <color theme="1"/>
        <rFont val="Verdana"/>
        <family val="2"/>
      </rPr>
      <t>viti</t>
    </r>
    <r>
      <rPr>
        <b/>
        <sz val="11"/>
        <color theme="1"/>
        <rFont val="Verdana"/>
        <family val="2"/>
      </rPr>
      <t xml:space="preserve"> - Ø</t>
    </r>
  </si>
  <si>
    <r>
      <t>b</t>
    </r>
    <r>
      <rPr>
        <b/>
        <vertAlign val="subscript"/>
        <sz val="11"/>
        <color theme="1"/>
        <rFont val="Verdana"/>
        <family val="2"/>
      </rPr>
      <t>j</t>
    </r>
  </si>
  <si>
    <r>
      <t>h</t>
    </r>
    <r>
      <rPr>
        <b/>
        <vertAlign val="subscript"/>
        <sz val="11"/>
        <color theme="1"/>
        <rFont val="Verdana"/>
        <family val="2"/>
      </rPr>
      <t>j</t>
    </r>
  </si>
  <si>
    <r>
      <t>B</t>
    </r>
    <r>
      <rPr>
        <b/>
        <vertAlign val="subscript"/>
        <sz val="11"/>
        <color theme="1"/>
        <rFont val="Verdana"/>
        <family val="2"/>
      </rPr>
      <t>LOCK</t>
    </r>
  </si>
  <si>
    <r>
      <t>H</t>
    </r>
    <r>
      <rPr>
        <b/>
        <vertAlign val="subscript"/>
        <sz val="11"/>
        <color theme="1"/>
        <rFont val="Verdana"/>
        <family val="2"/>
      </rPr>
      <t>LOCK</t>
    </r>
  </si>
  <si>
    <t>classe di durata del carico</t>
  </si>
  <si>
    <t>Istantaneo</t>
  </si>
  <si>
    <t>Peso proprio e carichi non rimovibili durante il normale esercizio della struttura.</t>
  </si>
  <si>
    <t>Carichi permanenti suscettibili di cambiamenti durante il normale esercizio della struttura e carichi variabili relativi a magazzini e depositi.</t>
  </si>
  <si>
    <t>Carichi variabili degli edifici, ad eccezione di quelli relativi a magazzini e depositi.</t>
  </si>
  <si>
    <t>Azione del vento medio.</t>
  </si>
  <si>
    <t>Azione di picco del vento e azioni eccezionali.</t>
  </si>
  <si>
    <t>Caratterizzata da un'umidità del materiale in equilibrio con l'ambiente a una temperatura di 20°C e un'umidità relativa dell'aria circostante che non superi il 65%, se non per poche settimane all'anno.</t>
  </si>
  <si>
    <t>Caratterizzata da un'umidità del materiale in equilibrio con l'ambiente a una temperatura di 20°C e un'umidità relativa dell'aria circostante che superi l'85% solo per poche settimane all'anno.</t>
  </si>
  <si>
    <t>Caratterizzata da umidità più elevata di quella della classe di servizio 2.</t>
  </si>
  <si>
    <t>VITI</t>
  </si>
  <si>
    <t>Momento caratteristico di snervamento</t>
  </si>
  <si>
    <r>
      <t>M</t>
    </r>
    <r>
      <rPr>
        <b/>
        <vertAlign val="subscript"/>
        <sz val="9"/>
        <rFont val="Verdana"/>
        <family val="2"/>
      </rPr>
      <t>y,k</t>
    </r>
  </si>
  <si>
    <t>[Nm]</t>
  </si>
  <si>
    <t>EVO</t>
  </si>
  <si>
    <t>EV</t>
  </si>
  <si>
    <t>richiesta speciale</t>
  </si>
  <si>
    <t>codice evo</t>
  </si>
  <si>
    <t>numero di connettori inclinati</t>
  </si>
  <si>
    <r>
      <t>n</t>
    </r>
    <r>
      <rPr>
        <vertAlign val="subscript"/>
        <sz val="10"/>
        <color theme="1"/>
        <rFont val="Verdana"/>
        <family val="2"/>
      </rPr>
      <t>in</t>
    </r>
    <r>
      <rPr>
        <sz val="10"/>
        <color theme="1"/>
        <rFont val="Verdana"/>
        <family val="2"/>
      </rPr>
      <t xml:space="preserve"> = max(0,9*n; n^0,9)</t>
    </r>
  </si>
  <si>
    <t>Tecnico commerciale RothoBlaas</t>
  </si>
  <si>
    <t>Norma di calcolo</t>
  </si>
  <si>
    <t>Giunzione n°</t>
  </si>
  <si>
    <t>Note</t>
  </si>
  <si>
    <t>Produzione soggetta a controllo continuativo (COV &lt;15%)</t>
  </si>
  <si>
    <t>Verifica della connessione</t>
  </si>
  <si>
    <t>NTC 2018</t>
  </si>
  <si>
    <t>EC 1995-1-1</t>
  </si>
  <si>
    <t>altezza lock 2 [mm]</t>
  </si>
  <si>
    <t>Accoppiamento connettori: numero di connettori</t>
  </si>
  <si>
    <t>(*)</t>
  </si>
  <si>
    <t>LOCKSTOP5</t>
  </si>
  <si>
    <t>LOCKSTOP7</t>
  </si>
  <si>
    <t>LOCKSTOP18</t>
  </si>
  <si>
    <t>LOCKSTOP35</t>
  </si>
  <si>
    <t>LOCKSTOP50</t>
  </si>
  <si>
    <t>LOCKSTOP75</t>
  </si>
  <si>
    <t>LOCKSTOP100</t>
  </si>
  <si>
    <t>LOCKSTOP125</t>
  </si>
  <si>
    <t>LOCKSTOP5U</t>
  </si>
  <si>
    <t>ACCOPPIATI</t>
  </si>
  <si>
    <t>MINI</t>
  </si>
  <si>
    <t>MIDI</t>
  </si>
  <si>
    <t>LOCK-T 100 240</t>
  </si>
  <si>
    <t>Configurazione per resistenza laterale</t>
  </si>
  <si>
    <t>LOCK-T 18 80</t>
  </si>
  <si>
    <t>(**)</t>
  </si>
  <si>
    <t>LOCK-T 35 80</t>
  </si>
  <si>
    <t>LOCK-T 35 100</t>
  </si>
  <si>
    <t>LOCK-T 35 120</t>
  </si>
  <si>
    <t>LOCK-T 53 120</t>
  </si>
  <si>
    <t>LOCK-T 50 135</t>
  </si>
  <si>
    <t>LOCK-T 50 175</t>
  </si>
  <si>
    <t>LOCK-T 75 175</t>
  </si>
  <si>
    <t>LOCK-T 75 215</t>
  </si>
  <si>
    <t>LOCK-T 100 215</t>
  </si>
  <si>
    <t>LOCK-T 75 240</t>
  </si>
  <si>
    <t>LOCK-T 125 240</t>
  </si>
  <si>
    <t>LOCK-T 75 265</t>
  </si>
  <si>
    <t>LOCK-T 100 265</t>
  </si>
  <si>
    <t>LOCK-T 125 265</t>
  </si>
  <si>
    <t>LOCK-T 75 290</t>
  </si>
  <si>
    <t>LOCK-T 100 290</t>
  </si>
  <si>
    <t>LOCK-T 125 290</t>
  </si>
  <si>
    <t>connettori</t>
  </si>
  <si>
    <t>uplift</t>
  </si>
  <si>
    <t>lateral</t>
  </si>
  <si>
    <t>secondo lock</t>
  </si>
  <si>
    <t>doppio lock</t>
  </si>
  <si>
    <t>primo lock</t>
  </si>
  <si>
    <t>5 or 7</t>
  </si>
  <si>
    <t>10d</t>
  </si>
  <si>
    <t>7d</t>
  </si>
  <si>
    <t>4d</t>
  </si>
  <si>
    <t>&gt;=14d</t>
  </si>
  <si>
    <t>non predrilled</t>
  </si>
  <si>
    <t>predrilled</t>
  </si>
  <si>
    <r>
      <t>Σn</t>
    </r>
    <r>
      <rPr>
        <vertAlign val="subscript"/>
        <sz val="11"/>
        <color theme="1"/>
        <rFont val="Verdana"/>
        <family val="2"/>
      </rPr>
      <t>ef</t>
    </r>
  </si>
  <si>
    <r>
      <t>Σk</t>
    </r>
    <r>
      <rPr>
        <vertAlign val="subscript"/>
        <sz val="11"/>
        <color theme="1"/>
        <rFont val="Verdana"/>
        <family val="2"/>
      </rPr>
      <t>lat</t>
    </r>
  </si>
  <si>
    <t>ΣB
(mm)</t>
  </si>
  <si>
    <t>Numero connettori inclinati 1</t>
  </si>
  <si>
    <t>Numero connettori inclinati 2</t>
  </si>
  <si>
    <t>Numero connettori^kef</t>
  </si>
  <si>
    <t>Codice viti trave secondaria</t>
  </si>
  <si>
    <t>Viti inclinate per resistenza a sollevamento e/o laterale</t>
  </si>
  <si>
    <t>Area di contatto tra connettore LOCK T e testata o colonna</t>
  </si>
  <si>
    <r>
      <t>A</t>
    </r>
    <r>
      <rPr>
        <b/>
        <vertAlign val="subscript"/>
        <sz val="11"/>
        <color theme="1"/>
        <rFont val="Verdana"/>
        <family val="2"/>
      </rPr>
      <t>LOCK</t>
    </r>
  </si>
  <si>
    <r>
      <t>[mm</t>
    </r>
    <r>
      <rPr>
        <b/>
        <vertAlign val="superscript"/>
        <sz val="10"/>
        <rFont val="Verdana"/>
        <family val="2"/>
      </rPr>
      <t>2</t>
    </r>
    <r>
      <rPr>
        <b/>
        <sz val="11"/>
        <color theme="1"/>
        <rFont val="Verdana"/>
        <family val="2"/>
      </rPr>
      <t>]</t>
    </r>
  </si>
  <si>
    <t>Lunghezza del connettore LOCK T</t>
  </si>
  <si>
    <r>
      <t>l</t>
    </r>
    <r>
      <rPr>
        <b/>
        <vertAlign val="subscript"/>
        <sz val="11"/>
        <color theme="1"/>
        <rFont val="Verdana"/>
        <family val="2"/>
      </rPr>
      <t>LOCK</t>
    </r>
  </si>
  <si>
    <t>Fattore di forma</t>
  </si>
  <si>
    <r>
      <t>k</t>
    </r>
    <r>
      <rPr>
        <b/>
        <vertAlign val="subscript"/>
        <sz val="11"/>
        <color theme="1"/>
        <rFont val="Verdana"/>
        <family val="2"/>
      </rPr>
      <t>LOCK</t>
    </r>
  </si>
  <si>
    <t>Numero di viti inclinate</t>
  </si>
  <si>
    <r>
      <t>n</t>
    </r>
    <r>
      <rPr>
        <b/>
        <vertAlign val="subscript"/>
        <sz val="9"/>
        <rFont val="Verdana"/>
        <family val="2"/>
      </rPr>
      <t>in</t>
    </r>
  </si>
  <si>
    <r>
      <t>n</t>
    </r>
    <r>
      <rPr>
        <b/>
        <vertAlign val="subscript"/>
        <sz val="11"/>
        <color theme="1"/>
        <rFont val="Verdana"/>
        <family val="2"/>
      </rPr>
      <t>M</t>
    </r>
  </si>
  <si>
    <t>Numero di moduli base ETA-19/0831</t>
  </si>
  <si>
    <t>nef</t>
  </si>
  <si>
    <t>klat</t>
  </si>
  <si>
    <t>Numero effettivo di viti per elemento secondario o primario</t>
  </si>
  <si>
    <t>Coefficiente in accordo con EN 1995-1-1, eq. 6.62</t>
  </si>
  <si>
    <t>Coefficiente in accordo con EN 1995-1-1, 6.1.5</t>
  </si>
  <si>
    <r>
      <t>F</t>
    </r>
    <r>
      <rPr>
        <vertAlign val="subscript"/>
        <sz val="11"/>
        <color theme="1"/>
        <rFont val="Verdana"/>
        <family val="2"/>
      </rPr>
      <t>v,H,rk</t>
    </r>
  </si>
  <si>
    <r>
      <t>F</t>
    </r>
    <r>
      <rPr>
        <vertAlign val="subscript"/>
        <sz val="11"/>
        <color theme="1"/>
        <rFont val="Verdana"/>
        <family val="2"/>
      </rPr>
      <t>ax,H,rk</t>
    </r>
  </si>
  <si>
    <r>
      <t>f</t>
    </r>
    <r>
      <rPr>
        <vertAlign val="subscript"/>
        <sz val="11"/>
        <color theme="1"/>
        <rFont val="Verdana"/>
        <family val="2"/>
      </rPr>
      <t>h,H,rk</t>
    </r>
  </si>
  <si>
    <r>
      <t>[N/mm</t>
    </r>
    <r>
      <rPr>
        <vertAlign val="superscript"/>
        <sz val="10"/>
        <rFont val="Verdana"/>
        <family val="2"/>
      </rPr>
      <t>2</t>
    </r>
    <r>
      <rPr>
        <sz val="11"/>
        <color theme="1"/>
        <rFont val="Verdana"/>
        <family val="2"/>
      </rPr>
      <t>]</t>
    </r>
  </si>
  <si>
    <t>[N]</t>
  </si>
  <si>
    <r>
      <t>f</t>
    </r>
    <r>
      <rPr>
        <vertAlign val="subscript"/>
        <sz val="11"/>
        <color theme="1"/>
        <rFont val="Verdana"/>
        <family val="2"/>
      </rPr>
      <t>h,J,rk</t>
    </r>
  </si>
  <si>
    <r>
      <t>F</t>
    </r>
    <r>
      <rPr>
        <vertAlign val="subscript"/>
        <sz val="11"/>
        <color theme="1"/>
        <rFont val="Verdana"/>
        <family val="2"/>
      </rPr>
      <t>ax,J,rk</t>
    </r>
  </si>
  <si>
    <r>
      <t>F</t>
    </r>
    <r>
      <rPr>
        <vertAlign val="subscript"/>
        <sz val="11"/>
        <color theme="1"/>
        <rFont val="Verdana"/>
        <family val="2"/>
      </rPr>
      <t>v,J,rk</t>
    </r>
  </si>
  <si>
    <r>
      <t>f</t>
    </r>
    <r>
      <rPr>
        <vertAlign val="subscript"/>
        <sz val="11"/>
        <color theme="1"/>
        <rFont val="Verdana"/>
        <family val="2"/>
      </rPr>
      <t>h,in,rk</t>
    </r>
  </si>
  <si>
    <r>
      <t>F</t>
    </r>
    <r>
      <rPr>
        <vertAlign val="subscript"/>
        <sz val="11"/>
        <color theme="1"/>
        <rFont val="Verdana"/>
        <family val="2"/>
      </rPr>
      <t>ax,in,rk</t>
    </r>
  </si>
  <si>
    <t>Azione di taglio per sollevamento</t>
  </si>
  <si>
    <t>Azione di taglio verticale</t>
  </si>
  <si>
    <t>6. Verifiche di progetto per la singola direzione</t>
  </si>
  <si>
    <t>Capacità assiale caratteristica di una vite inclinata</t>
  </si>
  <si>
    <t>Resistenza caratteristica a rifollamento</t>
  </si>
  <si>
    <t>Capacità assiale caratteristica di una vite su elemento secondario</t>
  </si>
  <si>
    <t>Capacità assiale caratteristica di una vite su elemento primario</t>
  </si>
  <si>
    <t>Capacità di carico caratteristica per piano di taglio per fissaggio elemento secondario</t>
  </si>
  <si>
    <t>Resistenza caratteristica a rifollamento elemento secondario</t>
  </si>
  <si>
    <t>Resistenza caratteristica alluminio</t>
  </si>
  <si>
    <t>Resistenza caratteristica a rifollamento elemento primario</t>
  </si>
  <si>
    <t>Capacità di carico caratteristica per piano di taglio per fissaggio elemento primario</t>
  </si>
  <si>
    <t xml:space="preserve"> </t>
  </si>
  <si>
    <t>Resistenza caratteristica elemento principale</t>
  </si>
  <si>
    <t>Resistenza caratteristica elemento secondario</t>
  </si>
  <si>
    <r>
      <t>F</t>
    </r>
    <r>
      <rPr>
        <vertAlign val="subscript"/>
        <sz val="11"/>
        <color theme="1"/>
        <rFont val="Verdana"/>
        <family val="2"/>
      </rPr>
      <t>2,H,Rk</t>
    </r>
  </si>
  <si>
    <r>
      <t>F</t>
    </r>
    <r>
      <rPr>
        <vertAlign val="subscript"/>
        <sz val="11"/>
        <color theme="1"/>
        <rFont val="Verdana"/>
        <family val="2"/>
      </rPr>
      <t>2,alu,Rk</t>
    </r>
  </si>
  <si>
    <r>
      <t>F</t>
    </r>
    <r>
      <rPr>
        <vertAlign val="subscript"/>
        <sz val="11"/>
        <color theme="1"/>
        <rFont val="Verdana"/>
        <family val="2"/>
      </rPr>
      <t>2,J,Rk</t>
    </r>
  </si>
  <si>
    <r>
      <t>F</t>
    </r>
    <r>
      <rPr>
        <vertAlign val="subscript"/>
        <sz val="11"/>
        <color theme="1"/>
        <rFont val="Verdana"/>
        <family val="2"/>
      </rPr>
      <t>3,H,Rk</t>
    </r>
  </si>
  <si>
    <r>
      <t>F</t>
    </r>
    <r>
      <rPr>
        <vertAlign val="subscript"/>
        <sz val="11"/>
        <color theme="1"/>
        <rFont val="Verdana"/>
        <family val="2"/>
      </rPr>
      <t>3,J,Rk</t>
    </r>
  </si>
  <si>
    <r>
      <t>F</t>
    </r>
    <r>
      <rPr>
        <vertAlign val="subscript"/>
        <sz val="11"/>
        <color theme="1"/>
        <rFont val="Verdana"/>
        <family val="2"/>
      </rPr>
      <t>1,H,Rk</t>
    </r>
  </si>
  <si>
    <r>
      <t>F</t>
    </r>
    <r>
      <rPr>
        <vertAlign val="subscript"/>
        <sz val="11"/>
        <color theme="1"/>
        <rFont val="Verdana"/>
        <family val="2"/>
      </rPr>
      <t>1,alu,Rk</t>
    </r>
  </si>
  <si>
    <r>
      <t>F</t>
    </r>
    <r>
      <rPr>
        <vertAlign val="subscript"/>
        <sz val="11"/>
        <color theme="1"/>
        <rFont val="Verdana"/>
        <family val="2"/>
      </rPr>
      <t>1,J,Rk</t>
    </r>
  </si>
  <si>
    <t>7. Verifiche di progetto nel caso di sollecitazione combinata</t>
  </si>
  <si>
    <t>Richiesta verifica sollecitazione combinata?</t>
  </si>
  <si>
    <t>Taglio verticale</t>
  </si>
  <si>
    <t>Taglio verticale di sollevamento</t>
  </si>
  <si>
    <t>Taglio laterale</t>
  </si>
  <si>
    <r>
      <t>F</t>
    </r>
    <r>
      <rPr>
        <vertAlign val="subscript"/>
        <sz val="11"/>
        <color theme="1"/>
        <rFont val="Verdana"/>
        <family val="2"/>
      </rPr>
      <t>v,d</t>
    </r>
  </si>
  <si>
    <r>
      <t>F</t>
    </r>
    <r>
      <rPr>
        <vertAlign val="subscript"/>
        <sz val="11"/>
        <color theme="1"/>
        <rFont val="Verdana"/>
        <family val="2"/>
      </rPr>
      <t>up,d</t>
    </r>
  </si>
  <si>
    <r>
      <t>F</t>
    </r>
    <r>
      <rPr>
        <vertAlign val="subscript"/>
        <sz val="11"/>
        <color theme="1"/>
        <rFont val="Verdana"/>
        <family val="2"/>
      </rPr>
      <t>ax,d</t>
    </r>
  </si>
  <si>
    <r>
      <t>F</t>
    </r>
    <r>
      <rPr>
        <vertAlign val="subscript"/>
        <sz val="11"/>
        <color theme="1"/>
        <rFont val="Verdana"/>
        <family val="2"/>
      </rPr>
      <t>lat,d</t>
    </r>
  </si>
  <si>
    <t>CD</t>
  </si>
  <si>
    <t>BD</t>
  </si>
  <si>
    <t>BCD</t>
  </si>
  <si>
    <t>BC</t>
  </si>
  <si>
    <t>AD</t>
  </si>
  <si>
    <t>AC</t>
  </si>
  <si>
    <t>ACD</t>
  </si>
  <si>
    <t>NON</t>
  </si>
  <si>
    <t>A</t>
  </si>
  <si>
    <t>C</t>
  </si>
  <si>
    <t>D</t>
  </si>
  <si>
    <t>Massa volumica caratteristica</t>
  </si>
  <si>
    <t>Resistenza caratteristica a compressione parallela alla fibratura</t>
  </si>
  <si>
    <t>Resistenza caratteristica a compressione perpendicolare alla fibratura</t>
  </si>
  <si>
    <t>Resistenza caratteristica a taglio per rotolamento delle fibre</t>
  </si>
  <si>
    <t>Resistenza caratteristica a taglio</t>
  </si>
  <si>
    <r>
      <t>f</t>
    </r>
    <r>
      <rPr>
        <b/>
        <vertAlign val="subscript"/>
        <sz val="10"/>
        <color theme="1"/>
        <rFont val="Verdana"/>
        <family val="2"/>
      </rPr>
      <t>c,0,k</t>
    </r>
  </si>
  <si>
    <r>
      <t>f</t>
    </r>
    <r>
      <rPr>
        <b/>
        <vertAlign val="subscript"/>
        <sz val="10"/>
        <color theme="1"/>
        <rFont val="Verdana"/>
        <family val="2"/>
      </rPr>
      <t>c,90,k</t>
    </r>
  </si>
  <si>
    <r>
      <t>f</t>
    </r>
    <r>
      <rPr>
        <b/>
        <vertAlign val="subscript"/>
        <sz val="10"/>
        <color theme="1"/>
        <rFont val="Verdana"/>
        <family val="2"/>
      </rPr>
      <t>r,k</t>
    </r>
  </si>
  <si>
    <r>
      <t>f</t>
    </r>
    <r>
      <rPr>
        <b/>
        <vertAlign val="subscript"/>
        <sz val="10"/>
        <color theme="1"/>
        <rFont val="Verdana"/>
        <family val="2"/>
      </rPr>
      <t>v,k</t>
    </r>
  </si>
  <si>
    <r>
      <t>ρ</t>
    </r>
    <r>
      <rPr>
        <b/>
        <vertAlign val="subscript"/>
        <sz val="9"/>
        <rFont val="Verdana"/>
        <family val="2"/>
      </rPr>
      <t>k</t>
    </r>
  </si>
  <si>
    <t>per clt come parete considerato come fosse SW</t>
  </si>
  <si>
    <t>ETA12/0362</t>
  </si>
  <si>
    <t>"--&gt;"</t>
  </si>
  <si>
    <t>StoraEnso</t>
  </si>
  <si>
    <t>Fv,d e Fup,d sono forze agenti in direzioni opposte. Pertanto solo una delle forze Fv,d e Fup,d può agire in combinazione con le forze Fax,d o Flat,d.</t>
  </si>
  <si>
    <t>Per angoli elevati verificare che geometricamente le viti non fuoriescano dalle sezioni.</t>
  </si>
  <si>
    <t>6.1 Taglio verticale (Fv)</t>
  </si>
  <si>
    <t>6.3 Assiale (Fax)</t>
  </si>
  <si>
    <t>6.4 Taglio laterale (Flat)</t>
  </si>
  <si>
    <t>PERCENTUALE DI UTILIZZO DELLA CONNESSIONE</t>
  </si>
  <si>
    <t>7. Sollecitazione combinata</t>
  </si>
  <si>
    <t>…</t>
  </si>
  <si>
    <t>!! elemento troppo piccolo per il connettore selezionato !!</t>
  </si>
  <si>
    <t>CALCOLO CONNETTORE A SCOMPARSA AD AGGANCIO LEGNO-LEGNO LOCK-T</t>
  </si>
  <si>
    <t>P</t>
  </si>
  <si>
    <t>I connettori accoppiati devono avere pari altezza!</t>
  </si>
  <si>
    <t>Coefficiente di sicurezza connessione</t>
  </si>
  <si>
    <t>USER 1</t>
  </si>
  <si>
    <t>USER 2</t>
  </si>
  <si>
    <t>USER 3</t>
  </si>
  <si>
    <t>USER 4</t>
  </si>
  <si>
    <t>USER 5</t>
  </si>
  <si>
    <t>6.2 Taglio sollevamento (Fup)</t>
  </si>
  <si>
    <t>EN 14080:2013</t>
  </si>
  <si>
    <t>EN 338:2016</t>
  </si>
  <si>
    <t>Codice viti elemento primario</t>
  </si>
  <si>
    <t>Accoppiamento connettori:</t>
  </si>
  <si>
    <t>Trave o pilastro:</t>
  </si>
  <si>
    <t>Viti fissaggio elemento primario</t>
  </si>
  <si>
    <t>Numero di connessioni</t>
  </si>
  <si>
    <t>Codice</t>
  </si>
  <si>
    <t>n°</t>
  </si>
  <si>
    <t>Connettore a scomparsa ad aggancio</t>
  </si>
  <si>
    <t>Secondo connettore a scomparsa, se connettori accoppiati</t>
  </si>
  <si>
    <t>Connettore LOCK STOP</t>
  </si>
  <si>
    <t>scatole</t>
  </si>
  <si>
    <t>Quantità necessaria</t>
  </si>
  <si>
    <t>pz.</t>
  </si>
  <si>
    <t>PZ.</t>
  </si>
  <si>
    <t>8. Riassunto quantità e codici prodotto</t>
  </si>
  <si>
    <t>IT</t>
  </si>
  <si>
    <t>EN</t>
  </si>
  <si>
    <t>FR</t>
  </si>
  <si>
    <t>ES</t>
  </si>
  <si>
    <t>PT</t>
  </si>
  <si>
    <t>DE</t>
  </si>
  <si>
    <t>Queste indicazioni relative alla scheda di verifica sono da intendersi indicative, fermo restando che la responsabilità del progetto di collegamento ricade interamente sul progettista.</t>
  </si>
  <si>
    <t>La progettazione degli elementi in legno deve essere eseguita separatamente dal progettista strutturale.</t>
  </si>
  <si>
    <t>Come specificato nelle Condizioni Generali accettate dall'utente al momento del download del foglio di calcolo: i risultati ottenuti con questo strumento di calcolo hanno carattere indicativo e devono essere considerati come un servizio tecnico-commerciale nell'ambito dell'attività di vendita di Rotho Blaas srl. Il numero e lo spessore degli inserti devono essere determinati dal progettista responsabile che è tenuto a verificare la correttezza dei risultati derivanti dall'elaborazione dei dati inseriti. Rotho Blaas srl non garantisce il rispetto della normativa vigente e la progettazione dei calcoli effettuati attraverso questo foglio di calcolo. In particolare, a seguito della modifica delle disposizioni in materia quali, ad esempio, norme, approvazioni, ecc. il programma può diventare, in parte o in toto, non valido. Rotho Blaas srl non garantisce e non sarà responsabile per danni diretti o indiretti o conseguenze o altro, in qualsiasi modo (garanzia per difetti, garanzia per malfunzionamenti, garanzia di prodotto o responsabilità legale, ecc.) L'Utente dichiara di utilizzare il foglio di calcolo come professionista con l'obbligo e la responsabilità di verificare che il foglio di calcolo soddisfi le sue specifiche esigenze.</t>
  </si>
  <si>
    <t>aggiornamento con angolo eliminare possibilità 5/6</t>
  </si>
  <si>
    <t>it</t>
  </si>
  <si>
    <t>en</t>
  </si>
  <si>
    <t>de</t>
  </si>
  <si>
    <t>fr</t>
  </si>
  <si>
    <t>es</t>
  </si>
  <si>
    <t>pt</t>
  </si>
  <si>
    <t>Si</t>
  </si>
  <si>
    <t>Yes</t>
  </si>
  <si>
    <t>Ja</t>
  </si>
  <si>
    <t>Oui</t>
  </si>
  <si>
    <t>Sí</t>
  </si>
  <si>
    <t>Sim</t>
  </si>
  <si>
    <t>No</t>
  </si>
  <si>
    <t>Nein</t>
  </si>
  <si>
    <t>Non</t>
  </si>
  <si>
    <t>Não</t>
  </si>
  <si>
    <t>Beam</t>
  </si>
  <si>
    <t>Träger</t>
  </si>
  <si>
    <t>Poutre</t>
  </si>
  <si>
    <t>Viga</t>
  </si>
  <si>
    <t>Column</t>
  </si>
  <si>
    <t>Stütze</t>
  </si>
  <si>
    <t>Poteau</t>
  </si>
  <si>
    <t>Pilar</t>
  </si>
  <si>
    <t>Entaille colonne</t>
  </si>
  <si>
    <t>Muescado columna</t>
  </si>
  <si>
    <t>Entalhe coluna</t>
  </si>
  <si>
    <t>Entaille poutre principale</t>
  </si>
  <si>
    <t>Muescado viga principal</t>
  </si>
  <si>
    <t>Entalhe viga principal</t>
  </si>
  <si>
    <t>Entaille poutre secondaire</t>
  </si>
  <si>
    <t>Muescado viga secundaria</t>
  </si>
  <si>
    <t>Entalhe viga secundária</t>
  </si>
  <si>
    <t>Inclined screws</t>
  </si>
  <si>
    <t>Geneigte Schrauben</t>
  </si>
  <si>
    <t>Vis inclinées</t>
  </si>
  <si>
    <t>Tornillos inclinados</t>
  </si>
  <si>
    <t>Parafusos inclinados</t>
  </si>
  <si>
    <t>Screws geometry and characteristics</t>
  </si>
  <si>
    <t>Schraubengeometrie und Eigenschaften</t>
  </si>
  <si>
    <t>Géométrie et caractéristiques vis</t>
  </si>
  <si>
    <t>Geometría y características de los tornillos</t>
  </si>
  <si>
    <t>Geometria e características parafusos</t>
  </si>
  <si>
    <t>Screw type</t>
  </si>
  <si>
    <t>Type de vis</t>
  </si>
  <si>
    <t>Tipo de tornillo</t>
  </si>
  <si>
    <t>Tipo de parafuso</t>
  </si>
  <si>
    <t>Diameter</t>
  </si>
  <si>
    <t>Durchmesser</t>
  </si>
  <si>
    <t>Diamètre</t>
  </si>
  <si>
    <t>Diámetro</t>
  </si>
  <si>
    <t>Diâmetro</t>
  </si>
  <si>
    <t>Length</t>
  </si>
  <si>
    <t>Länge</t>
  </si>
  <si>
    <t>Longueur</t>
  </si>
  <si>
    <t>Longitud</t>
  </si>
  <si>
    <t>Comprimento</t>
  </si>
  <si>
    <t>Filetto</t>
  </si>
  <si>
    <t>Thread</t>
  </si>
  <si>
    <t>Gewinde</t>
  </si>
  <si>
    <t>Filet</t>
  </si>
  <si>
    <t>Rosca</t>
  </si>
  <si>
    <t>Holz</t>
  </si>
  <si>
    <t>Bois</t>
  </si>
  <si>
    <t>Madera</t>
  </si>
  <si>
    <t>Madeira</t>
  </si>
  <si>
    <t>Per le viti di fissaggio su elemento primario e/o secondario, con densità caratteristica  ρk≤420 kg/m3, non è previsto il preforo. Per trave principale e/o secondaria con densità caratteristica ρk&gt;420 kg/m3 è obbligatorio il preforo. Per le viti su pilastro è sempre obbligatorio il preforo.</t>
  </si>
  <si>
    <t>The pre-drill is not required for fastening screws on main and/or secondary element, with characteristic density ρk≤420 kg/ m3. The pre-drill is mandatory on primary or secondary beam with characteristic density ρk&gt;420 kg/m3. For screws on column, pre-drilling is always mandatory.</t>
  </si>
  <si>
    <t>Pour les vis de fixation sur élément principal et/ou secondaire, avec une densité caractéristique ρk≤420 kg/m3, le pré-perçage n’est pas nécessaire. Pour une poutre principale et/ou secondaire, avec une densité caractéristique ρk&gt;420 kg/m3, le pré-perçage est obligatoire. Pour les vis sur poteau, le pré-perçage est toujours obligatoire.</t>
  </si>
  <si>
    <t>Para os parafusos de fixação no elemento principal e/ou secundário, com densidade característica ρk≤420 kg/m3, não é necessário pré-furo. Para a viga principal e/ou secundária com densidade característica ρk&gt;420 kg/m3 o pré-furo é obrigatório. Para os parafusos no pilar, o pré-furo é sempre obrigatório.</t>
  </si>
  <si>
    <t>POURCENTAGE D'UTILISATION DE LA CONNEXION</t>
  </si>
  <si>
    <t>PORCENTAJE DE USO DE LA CONEXIÓN</t>
  </si>
  <si>
    <t>6.1 Vertical shear (Fv)</t>
  </si>
  <si>
    <t>6.1 Cisaillement verticale (Fv)</t>
  </si>
  <si>
    <t>6.1 Corte vertical (Fv)</t>
  </si>
  <si>
    <t>6.2 Lifting shear (Fup)</t>
  </si>
  <si>
    <t>6.2 Cisaillement de soulèvement (Fup)</t>
  </si>
  <si>
    <t>6.2 Corte elevación (Fup)</t>
  </si>
  <si>
    <t>7. Combined load</t>
  </si>
  <si>
    <t>7. Sollicitation combinée</t>
  </si>
  <si>
    <t>7. Solicitación combinada</t>
  </si>
  <si>
    <t>6.3 Axial (Fax)</t>
  </si>
  <si>
    <t>6.3 Axiale (Fax)</t>
  </si>
  <si>
    <t>6.3 axial (Fax)</t>
  </si>
  <si>
    <t>6.4 lateral shear load (Flat)</t>
  </si>
  <si>
    <t>6.4 Cisaillement latéral (Flat)</t>
  </si>
  <si>
    <t>6.4 Corte lateral (Flat)</t>
  </si>
  <si>
    <t>CALCULATION OF LOCK T CONCEALED TIMBER-TO-TIMBER CONNECTOR</t>
  </si>
  <si>
    <t>LOCK-T VERDECKTER HOLZ-HOLZ VERBINDER BERECHNUNG</t>
  </si>
  <si>
    <t>CALCUL CONNECTEUR À ACCROCHE CACHÉ BOIS - BOIS LOCK-T</t>
  </si>
  <si>
    <t>CÁLCULO CONECTOR OCULTO DE CONEXIÓN MADERA-MADERA LOCK-T</t>
  </si>
  <si>
    <t>CÁLCULO LIGADOR OCULTO DE ENGATE MADEIRA-MADEIRA LOCK-T</t>
  </si>
  <si>
    <t xml:space="preserve">1. General information </t>
  </si>
  <si>
    <t xml:space="preserve">1. Allgemeine Informationen </t>
  </si>
  <si>
    <t xml:space="preserve">1. Informations générales </t>
  </si>
  <si>
    <t xml:space="preserve">1. Información general </t>
  </si>
  <si>
    <t xml:space="preserve">1. Informações gerais </t>
  </si>
  <si>
    <t>Date</t>
  </si>
  <si>
    <t>Datum</t>
  </si>
  <si>
    <t>Fecha</t>
  </si>
  <si>
    <t>RothoBlaas technical salesman</t>
  </si>
  <si>
    <t>RothoBlaas Vertriebsmitarbeiter</t>
  </si>
  <si>
    <t>Technico commerciale RothoBlaas</t>
  </si>
  <si>
    <t>Técnico comercial RothoBlaas</t>
  </si>
  <si>
    <t>Projekt</t>
  </si>
  <si>
    <t>Projet</t>
  </si>
  <si>
    <t>Proyecto</t>
  </si>
  <si>
    <t>Projeto</t>
  </si>
  <si>
    <t>Designer</t>
  </si>
  <si>
    <t>Planer</t>
  </si>
  <si>
    <t>Concepteur</t>
  </si>
  <si>
    <t>Proyectista</t>
  </si>
  <si>
    <t>Projetista</t>
  </si>
  <si>
    <t>Calculation standard</t>
  </si>
  <si>
    <t>Berechnungsnorm</t>
  </si>
  <si>
    <t>Norme de calcul</t>
  </si>
  <si>
    <t>Norma de cálculo</t>
  </si>
  <si>
    <t>Connection nr.</t>
  </si>
  <si>
    <t>Verbindung Nr.</t>
  </si>
  <si>
    <t>Assemblage n°</t>
  </si>
  <si>
    <t>Unión n°</t>
  </si>
  <si>
    <t>Ligação n°</t>
  </si>
  <si>
    <t>Notes</t>
  </si>
  <si>
    <t>Anmerkungen</t>
  </si>
  <si>
    <t>Notas</t>
  </si>
  <si>
    <t>NOTAS</t>
  </si>
  <si>
    <t>Vertical shear action</t>
  </si>
  <si>
    <t>Action de cisaillement verticale</t>
  </si>
  <si>
    <t>Acción de corte vertical</t>
  </si>
  <si>
    <t>Ação de corte vertical</t>
  </si>
  <si>
    <t>Shear action for lifting</t>
  </si>
  <si>
    <t>Action de cisaillement pour le soulèvement</t>
  </si>
  <si>
    <t>Ação de corte per elevação</t>
  </si>
  <si>
    <t>Axial action</t>
  </si>
  <si>
    <t>Action axiale</t>
  </si>
  <si>
    <t>Acción axial</t>
  </si>
  <si>
    <t>Ação axial</t>
  </si>
  <si>
    <t>Lateral action</t>
  </si>
  <si>
    <t>Action latérale</t>
  </si>
  <si>
    <t>Acción lateral</t>
  </si>
  <si>
    <t>Ação lateral</t>
  </si>
  <si>
    <t>Beam base</t>
  </si>
  <si>
    <t>Base de la poutre</t>
  </si>
  <si>
    <t>Base de la viga</t>
  </si>
  <si>
    <t>Base da viga</t>
  </si>
  <si>
    <t>Base del pilastro</t>
  </si>
  <si>
    <t>Column base</t>
  </si>
  <si>
    <t>Base du poteau</t>
  </si>
  <si>
    <t>Base del pilar</t>
  </si>
  <si>
    <t>Base do pilar</t>
  </si>
  <si>
    <t>Beam height</t>
  </si>
  <si>
    <t>Höhe des Balkens</t>
  </si>
  <si>
    <t>Hauteur de la poutre</t>
  </si>
  <si>
    <t>Altura de la viga</t>
  </si>
  <si>
    <t>Altura da viga</t>
  </si>
  <si>
    <t>Profondità del pilastro</t>
  </si>
  <si>
    <t>Column Depth</t>
  </si>
  <si>
    <t>Profondeur du poteau</t>
  </si>
  <si>
    <t>Profundidad del pilar</t>
  </si>
  <si>
    <t>Profundidade do pilar</t>
  </si>
  <si>
    <t>Type of wood</t>
  </si>
  <si>
    <t>Holzart</t>
  </si>
  <si>
    <t>Type de bois</t>
  </si>
  <si>
    <t>Tipo de madera</t>
  </si>
  <si>
    <t>Tipo de madeira</t>
  </si>
  <si>
    <t>Main element orientation</t>
  </si>
  <si>
    <t>Ausrichtung des Hauptelements</t>
  </si>
  <si>
    <t>Orientation élément principal</t>
  </si>
  <si>
    <t>Orientación del elemento principal</t>
  </si>
  <si>
    <t>Orientação elemento principal</t>
  </si>
  <si>
    <t>Beam or column:</t>
  </si>
  <si>
    <t>Poutre ou poteau :</t>
  </si>
  <si>
    <t>Viga o pilar:</t>
  </si>
  <si>
    <t>Viga ou pilar:</t>
  </si>
  <si>
    <t xml:space="preserve">Classe di resistenza per legno </t>
  </si>
  <si>
    <t xml:space="preserve">Festigkeitsklasse für Holz </t>
  </si>
  <si>
    <t xml:space="preserve">Classe de résistance pour le bois </t>
  </si>
  <si>
    <t xml:space="preserve">Clase de resistencia para madera </t>
  </si>
  <si>
    <t xml:space="preserve">Classe de resistência para madeira </t>
  </si>
  <si>
    <t>Characteristic density</t>
  </si>
  <si>
    <t>Charakteristische Dichte</t>
  </si>
  <si>
    <t>Masse volumique caractéristique</t>
  </si>
  <si>
    <t>Massa volúmica característica</t>
  </si>
  <si>
    <t>Characteristic compressive strength parallel to the grain</t>
  </si>
  <si>
    <t>Résistance caractéristique à compression parallèle au fil</t>
  </si>
  <si>
    <t>Resistencia característica a compresión paralela a la fibra</t>
  </si>
  <si>
    <t>Resistência característica à compressão paralela à fibra</t>
  </si>
  <si>
    <t>Characteristic compressive strength perpendicular to the grain</t>
  </si>
  <si>
    <t>Charakteristische Druckfestigkeit senkrecht zur Faser</t>
  </si>
  <si>
    <t>Résistance caractéristique à compression perpendiculaire au fil</t>
  </si>
  <si>
    <t>Resistencia característica a compresión perpendicular a la fibra</t>
  </si>
  <si>
    <t>Resistência característica à compressão perpendicular à fibra</t>
  </si>
  <si>
    <t>Characteristic shear resistance</t>
  </si>
  <si>
    <t>Charakteristische Quertragfähigkeit</t>
  </si>
  <si>
    <t>Résistance caractéristique au cisaillement</t>
  </si>
  <si>
    <t>Resistencia característica al corte</t>
  </si>
  <si>
    <t>Resistência característica ao corte</t>
  </si>
  <si>
    <t>Bei Schrauben an der Stütze ist das Vorbohren immer obligatorisch.</t>
  </si>
  <si>
    <t>Pour les vis sur poteau, le pré-perçage est toujours obligatoire.</t>
  </si>
  <si>
    <t>Para tornillos en pilares, el pre-agujero siempre es obligatorio.</t>
  </si>
  <si>
    <t>Para os parafusos no pilar, o pré-furo é sempre obrigatório.</t>
  </si>
  <si>
    <t>Per le viti di fissaggio su elemento legno con densità caratteristica ρk&gt;420 kg/m3 è obbligatorio il preforo.</t>
  </si>
  <si>
    <t>The pre-drill is required for fastening screws on timber element with with characteristic density ρk&gt; 420 kg/m3.</t>
  </si>
  <si>
    <t>Pour les vis de fixation sur élément en bois avec une densité caractéristique ρk&gt;420 kg/m3, le pré-perçage est nécessaire.</t>
  </si>
  <si>
    <t>Para tornillos de fijación sobre el elemento de madera con densidad característica ρk&gt;420 kg/m3, el pre-agujero es obligatorio.</t>
  </si>
  <si>
    <t>Para os parafusos de fixação no elemento madeira com densidade característica ρk&gt;420 kg/m3, não é necessário pré-furo.</t>
  </si>
  <si>
    <t>Angle in vertical plane</t>
  </si>
  <si>
    <t>Winkel in der vertikalen Ebene</t>
  </si>
  <si>
    <t>Angle dans le plan vertical</t>
  </si>
  <si>
    <t>Ángulo en el plano vertical</t>
  </si>
  <si>
    <t>Ângulo no plano vertical</t>
  </si>
  <si>
    <r>
      <rPr>
        <b/>
        <sz val="10"/>
        <color theme="1"/>
        <rFont val="Verdana"/>
        <family val="2"/>
      </rPr>
      <t>For high angles check that screws do not protrude from the sections geometrically.</t>
    </r>
  </si>
  <si>
    <r>
      <rPr>
        <b/>
        <sz val="10"/>
        <color theme="1"/>
        <rFont val="Verdana"/>
        <family val="2"/>
      </rPr>
      <t>Pour les angles élevés, vérifier que les vis ne dépassent pas des sections géométriquement.</t>
    </r>
  </si>
  <si>
    <t>Characteristic compressive strength perpendicular to fibration</t>
  </si>
  <si>
    <t>Connector selection</t>
  </si>
  <si>
    <t>Auswahl des Verbinders</t>
  </si>
  <si>
    <t>Choix du connecteur</t>
  </si>
  <si>
    <t>Elección del conector</t>
  </si>
  <si>
    <t>Escolha do conector</t>
  </si>
  <si>
    <t>Version with C4 EVO coating</t>
  </si>
  <si>
    <t>Ausführung mit Beschichtung C4 EVO</t>
  </si>
  <si>
    <t>Version avec revêtement C4 EVO</t>
  </si>
  <si>
    <t>Versión con revestimiento C4 EVO</t>
  </si>
  <si>
    <t>Versão com revestimento C4 EVO</t>
  </si>
  <si>
    <t>Connectors coupling: number of connectors</t>
  </si>
  <si>
    <t>Kopplung von Verbindern: Anzahl der Verbinder</t>
  </si>
  <si>
    <t>Accouplement des connecteurs : nombre de connecteurs</t>
  </si>
  <si>
    <t>Acoplamiento conectores: número de conectores</t>
  </si>
  <si>
    <t>Acoplamento com conectores: número de conectores</t>
  </si>
  <si>
    <t>Coupling connectors must be equal in height!</t>
  </si>
  <si>
    <t>gekoppelte Verbinder müssen gleich hoch sein!</t>
  </si>
  <si>
    <t>Les connecteurs accouplés doivent avoir la même hauteur !</t>
  </si>
  <si>
    <t>Los conectores en pares tiene que tener la misma altura!</t>
  </si>
  <si>
    <t>Code des verwendeten Verbinders</t>
  </si>
  <si>
    <t>Code du connecteur utilisé</t>
  </si>
  <si>
    <t>Código del conector utilizado</t>
  </si>
  <si>
    <t>Código do conector utilizado</t>
  </si>
  <si>
    <t>Number of ETA-19/0831 basic modules</t>
  </si>
  <si>
    <t>Height</t>
  </si>
  <si>
    <t>Höhe</t>
  </si>
  <si>
    <t>Hauteur</t>
  </si>
  <si>
    <t>Altura</t>
  </si>
  <si>
    <t>Thickness</t>
  </si>
  <si>
    <t>Stärke</t>
  </si>
  <si>
    <t>Épaisseur</t>
  </si>
  <si>
    <t>Espesor</t>
  </si>
  <si>
    <t>Espessura</t>
  </si>
  <si>
    <t>Holes</t>
  </si>
  <si>
    <t>Löcher</t>
  </si>
  <si>
    <t>Trous</t>
  </si>
  <si>
    <t>Agujeros</t>
  </si>
  <si>
    <t>Furos</t>
  </si>
  <si>
    <t>Contact area between LOCK T connector and head or column</t>
  </si>
  <si>
    <t>Zone de contact entre le connecteur LOCK T et la tête ou la colonne</t>
  </si>
  <si>
    <t>LOCK T connector length</t>
  </si>
  <si>
    <t>LOCK T-Verbinder Länge</t>
  </si>
  <si>
    <t>Longueur du connecteur LOCK T</t>
  </si>
  <si>
    <t>Longitud del conector LOCK T</t>
  </si>
  <si>
    <t>Comprimento do conector LOCK T</t>
  </si>
  <si>
    <t>Form factor</t>
  </si>
  <si>
    <t>Formfaktor</t>
  </si>
  <si>
    <t>Facteur de forme</t>
  </si>
  <si>
    <t>Factor de forma</t>
  </si>
  <si>
    <t>Fator de forma</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</si>
  <si>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</si>
  <si>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</si>
  <si>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</si>
  <si>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</si>
  <si>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</si>
  <si>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</si>
  <si>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</si>
  <si>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</si>
  <si>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</si>
  <si>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</si>
  <si>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</si>
  <si>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</si>
  <si>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Connectors coupling:</t>
  </si>
  <si>
    <t>Kopplung von Verbindern:</t>
  </si>
  <si>
    <t>Accouplement des connecteurs :</t>
  </si>
  <si>
    <t>Acoplamiento conectores:</t>
  </si>
  <si>
    <t>Acoplamento com conectores:</t>
  </si>
  <si>
    <t>Fastening screws main element</t>
  </si>
  <si>
    <t>Befestigungsschrauben des Hauptelements</t>
  </si>
  <si>
    <t>Vis de fixation élément principal</t>
  </si>
  <si>
    <t>Tornillos fijación elemento principal</t>
  </si>
  <si>
    <t>Parafusos de fixação elemento principal</t>
  </si>
  <si>
    <t>Screws code main element</t>
  </si>
  <si>
    <t>Hauptelement Schraubencode</t>
  </si>
  <si>
    <t>Code vis élément principal</t>
  </si>
  <si>
    <t>Código tornillo elemento principal</t>
  </si>
  <si>
    <t>Código parafusos elemento principal</t>
  </si>
  <si>
    <t>Nominal diameter</t>
  </si>
  <si>
    <t>Nenndurchmesser</t>
  </si>
  <si>
    <t>Diamètre nominal</t>
  </si>
  <si>
    <t>Diámetro nominal</t>
  </si>
  <si>
    <t>Diâmetro nominal</t>
  </si>
  <si>
    <t>Thread diameter</t>
  </si>
  <si>
    <t>Kerndurchmesser</t>
  </si>
  <si>
    <t>Diamètre noyau</t>
  </si>
  <si>
    <t>Diámetro núcleo</t>
  </si>
  <si>
    <t>Diâmetro do núcleo</t>
  </si>
  <si>
    <t>Head diameter</t>
  </si>
  <si>
    <t>Kopfdurchmesser</t>
  </si>
  <si>
    <t>Diamètre tête</t>
  </si>
  <si>
    <t>Diámetro cabeza</t>
  </si>
  <si>
    <t>Diâmetro da cabeça</t>
  </si>
  <si>
    <t>Thread length</t>
  </si>
  <si>
    <t>Gewindelänge</t>
  </si>
  <si>
    <t>Longueur filet</t>
  </si>
  <si>
    <t>Longitud rosca</t>
  </si>
  <si>
    <t>Comprimento da rosca</t>
  </si>
  <si>
    <t>Characteristic withdrawal parameter</t>
  </si>
  <si>
    <t>Charakteristischer Wert der Ausziehfestigkeit</t>
  </si>
  <si>
    <t>Résistance caractéristique à l’arrachement</t>
  </si>
  <si>
    <t>Parámetro característico extracción</t>
  </si>
  <si>
    <t>Parâmetro característico à extração</t>
  </si>
  <si>
    <t>Associated density</t>
  </si>
  <si>
    <t>Assoziierte Dichte</t>
  </si>
  <si>
    <t>Densité associée</t>
  </si>
  <si>
    <t>Densidad asociada</t>
  </si>
  <si>
    <t>Densidade associada</t>
  </si>
  <si>
    <t>Characteristic tensile strength</t>
  </si>
  <si>
    <t>Charakteristischer Zugwiderstand</t>
  </si>
  <si>
    <t>Résistance caractéristique à la traction</t>
  </si>
  <si>
    <t>Resistencia característica de tracción</t>
  </si>
  <si>
    <t>Resistência característica à tração</t>
  </si>
  <si>
    <t>Characteristic yield moment</t>
  </si>
  <si>
    <t>Charakteristisches Fließmoment</t>
  </si>
  <si>
    <t>Moment plastique caractéristique</t>
  </si>
  <si>
    <t>Momento plástico característico</t>
  </si>
  <si>
    <t>Fastening screws secondary beam</t>
  </si>
  <si>
    <t>Befestigungsschrauben des Nebenträgers</t>
  </si>
  <si>
    <t>Vis fixations poutre secondaire</t>
  </si>
  <si>
    <t>Tornillos fijación viga secundaria</t>
  </si>
  <si>
    <t>Parafusos fixações viga secundária</t>
  </si>
  <si>
    <t>Configurazione Flat:</t>
  </si>
  <si>
    <t>Flat configuration:</t>
  </si>
  <si>
    <t>Flat Konfiguration:</t>
  </si>
  <si>
    <t>Configuration Flat :</t>
  </si>
  <si>
    <t>Configuración Flat:</t>
  </si>
  <si>
    <t>Configuração Flat:</t>
  </si>
  <si>
    <t>Screws code secondary beam</t>
  </si>
  <si>
    <t>Nebenträger Schraubencode</t>
  </si>
  <si>
    <t>Code vis de poutre secondaire</t>
  </si>
  <si>
    <t>Código tornillo viga secundaria</t>
  </si>
  <si>
    <t>Código parafusos viga secundária</t>
  </si>
  <si>
    <t>Configuration for lateral resistance</t>
  </si>
  <si>
    <t>Konfiguration für Widerstand bei Querbeanspruchung</t>
  </si>
  <si>
    <t>Configuration pour résistance latérale</t>
  </si>
  <si>
    <t>Configuración por resistencia lateral</t>
  </si>
  <si>
    <t>Configuração para resistência lateral</t>
  </si>
  <si>
    <t>Type of LOCK STOP connector</t>
  </si>
  <si>
    <t>LOCK STOP Verbindertyp</t>
  </si>
  <si>
    <t>Type de connecteur LOCK STOP</t>
  </si>
  <si>
    <t>Tipo de conector LOCK STOP</t>
  </si>
  <si>
    <t>Inclined screws for lifting and/or lateral resistance</t>
  </si>
  <si>
    <t>Vis inclinées pour résistance au soulèvement et/ou latérale</t>
  </si>
  <si>
    <t>Tornillos inclinados para resistencia al arranque y/o lateral</t>
  </si>
  <si>
    <t>Parafusos inclinados para resistência ao levantamento e/ou lateral</t>
  </si>
  <si>
    <t>Number of inclined screws</t>
  </si>
  <si>
    <t>Anzahl der geneigten Schrauben</t>
  </si>
  <si>
    <t>Nombre de vis inclinées</t>
  </si>
  <si>
    <t>Número de tornillos inclinados</t>
  </si>
  <si>
    <t>Número de parafusos inclinados</t>
  </si>
  <si>
    <t>Screws code</t>
  </si>
  <si>
    <t>Code vis</t>
  </si>
  <si>
    <t>Código tornillos</t>
  </si>
  <si>
    <t>Código parafusos</t>
  </si>
  <si>
    <t>Service class</t>
  </si>
  <si>
    <t>Nutzungsklassen</t>
  </si>
  <si>
    <t>Classes de service</t>
  </si>
  <si>
    <t>Clases de servicio</t>
  </si>
  <si>
    <t>Classes de serviço</t>
  </si>
  <si>
    <t xml:space="preserve">Load duration class </t>
  </si>
  <si>
    <t xml:space="preserve">Klasse der Lasteinwirkungsdauer </t>
  </si>
  <si>
    <t xml:space="preserve">Classe de durée de la charge </t>
  </si>
  <si>
    <t xml:space="preserve">Clase de duración de la carga </t>
  </si>
  <si>
    <t xml:space="preserve">Classe de duração da carga </t>
  </si>
  <si>
    <t>Coefficiente kmod</t>
  </si>
  <si>
    <t>Kmod coefficient</t>
  </si>
  <si>
    <t>Kmod Koeffizient</t>
  </si>
  <si>
    <t>Coefficient kmod</t>
  </si>
  <si>
    <t>Coeficiente kmod</t>
  </si>
  <si>
    <r>
      <rPr>
        <b/>
        <sz val="10"/>
        <color theme="1"/>
        <rFont val="Verdana"/>
        <family val="2"/>
      </rPr>
      <t>Characterized by a material humidity in balance with the environment at a temperature of 20°C and a relative humidity of the surrounding air that does not exceed 65%, if not for a few weeks per year.</t>
    </r>
  </si>
  <si>
    <r>
      <rPr>
        <b/>
        <sz val="10"/>
        <color theme="1"/>
        <rFont val="Verdana"/>
        <family val="2"/>
      </rPr>
      <t>Caractérisé par une humidité du matériau en équilibre avec l'environnement à une température de 20 °C et une humidité relative de l'air environnant qui ne dépasse pas 65 %, si ce n'est pendant quelques semaines par an.</t>
    </r>
  </si>
  <si>
    <r>
      <rPr>
        <b/>
        <sz val="10"/>
        <color theme="1"/>
        <rFont val="Verdana"/>
        <family val="2"/>
      </rPr>
      <t>It is characterized by a material humidity in balance with the environment at a temperature of 20°C and a relative humidity of the surrounding air of more than 85% for only a few weeks a year.</t>
    </r>
  </si>
  <si>
    <r>
      <rPr>
        <b/>
        <sz val="10"/>
        <color theme="1"/>
        <rFont val="Verdana"/>
        <family val="2"/>
      </rPr>
      <t>Elle se caractérise par une humidité du matériau en équilibre avec l'environnement à une température de 20 °C et une humidité relative de l'air environnant de plus de 85 % pendant seulement quelques semaines par an.</t>
    </r>
  </si>
  <si>
    <r>
      <rPr>
        <b/>
        <sz val="10"/>
        <color theme="1"/>
        <rFont val="Verdana"/>
        <family val="2"/>
      </rPr>
      <t>It has higher humidity than service class 2.</t>
    </r>
  </si>
  <si>
    <r>
      <rPr>
        <b/>
        <sz val="10"/>
        <color theme="1"/>
        <rFont val="Verdana"/>
        <family val="2"/>
      </rPr>
      <t>L'humidité est supérieure à celle de la classe de service 2.</t>
    </r>
  </si>
  <si>
    <t>Permanent</t>
  </si>
  <si>
    <t>Dauerhaft</t>
  </si>
  <si>
    <t>Long duration</t>
  </si>
  <si>
    <t>Longue durée</t>
  </si>
  <si>
    <t>Larga duración</t>
  </si>
  <si>
    <t>Longa duração</t>
  </si>
  <si>
    <t>Medium duration</t>
  </si>
  <si>
    <t>Moyenne durée</t>
  </si>
  <si>
    <t>Media duración</t>
  </si>
  <si>
    <t>Média duração</t>
  </si>
  <si>
    <t>Short duration</t>
  </si>
  <si>
    <t>Courte durée</t>
  </si>
  <si>
    <t>Corta duración</t>
  </si>
  <si>
    <t>Breve duração</t>
  </si>
  <si>
    <t>Instantaneous</t>
  </si>
  <si>
    <t>Sofort wirkend</t>
  </si>
  <si>
    <t>Instantanée</t>
  </si>
  <si>
    <t>Instantáneo</t>
  </si>
  <si>
    <t>Instantâneo</t>
  </si>
  <si>
    <r>
      <rPr>
        <b/>
        <sz val="10"/>
        <color theme="1"/>
        <rFont val="Verdana"/>
        <family val="2"/>
      </rPr>
      <t>Own weight and non-removable loads during normal operation of the structure.</t>
    </r>
  </si>
  <si>
    <r>
      <rPr>
        <b/>
        <sz val="10"/>
        <color theme="1"/>
        <rFont val="Verdana"/>
        <family val="2"/>
      </rPr>
      <t>Poids propre et charges non amovibles pendant le fonctionnement normal de la structure.</t>
    </r>
  </si>
  <si>
    <r>
      <rPr>
        <b/>
        <sz val="10"/>
        <color theme="1"/>
        <rFont val="Verdana"/>
        <family val="2"/>
      </rPr>
      <t>Permanent loads that may change during normal operation of the structure and variable loads related to warehouses and deposits.</t>
    </r>
  </si>
  <si>
    <r>
      <rPr>
        <b/>
        <sz val="10"/>
        <color theme="1"/>
        <rFont val="Verdana"/>
        <family val="2"/>
      </rPr>
      <t>Les charges permanentes qui peuvent changer pendant le fonctionnement normal de la structure et les charges variables liées aux entrepôts et aux dépôts.</t>
    </r>
  </si>
  <si>
    <t>Variable loads of buildings, except those relating to warehouses and deposits.</t>
  </si>
  <si>
    <r>
      <rPr>
        <b/>
        <sz val="10"/>
        <color theme="1"/>
        <rFont val="Verdana"/>
        <family val="2"/>
      </rPr>
      <t>Charges variables de bâtiments, à l'exception de celles relatives aux entrepôts et dépôts.</t>
    </r>
  </si>
  <si>
    <r>
      <rPr>
        <b/>
        <sz val="10"/>
        <color theme="1"/>
        <rFont val="Verdana"/>
        <family val="2"/>
      </rPr>
      <t>Average wind action.</t>
    </r>
  </si>
  <si>
    <r>
      <rPr>
        <b/>
        <sz val="10"/>
        <color theme="1"/>
        <rFont val="Verdana"/>
        <family val="2"/>
      </rPr>
      <t>Action moyenne du vent.</t>
    </r>
  </si>
  <si>
    <r>
      <rPr>
        <b/>
        <sz val="10"/>
        <color theme="1"/>
        <rFont val="Verdana"/>
        <family val="2"/>
      </rPr>
      <t>Peak wind action and exceptional action.</t>
    </r>
  </si>
  <si>
    <r>
      <rPr>
        <b/>
        <sz val="10"/>
        <color theme="1"/>
        <rFont val="Verdana"/>
        <family val="2"/>
      </rPr>
      <t>Des vents forts et des scènes d'action incroyables.</t>
    </r>
  </si>
  <si>
    <t>Acción de pico del viento y acciones excepcionales.</t>
  </si>
  <si>
    <r>
      <rPr>
        <b/>
        <sz val="10"/>
        <color theme="1"/>
        <rFont val="Verdana"/>
        <family val="2"/>
      </rPr>
      <t>Continuously controlled production (VOC &lt;15%)</t>
    </r>
  </si>
  <si>
    <r>
      <rPr>
        <b/>
        <sz val="10"/>
        <color theme="1"/>
        <rFont val="Verdana"/>
        <family val="2"/>
      </rPr>
      <t>Production contrôlée en continu (COV &lt; 15 %)</t>
    </r>
  </si>
  <si>
    <t>Safety coefficient of connection</t>
  </si>
  <si>
    <t>Coefficient de sécurité de connexion</t>
  </si>
  <si>
    <t>Coeficiente de seguridad conexión</t>
  </si>
  <si>
    <t>Coeficiente de segurança conexão</t>
  </si>
  <si>
    <t>Safety coefficient of aluminium</t>
  </si>
  <si>
    <t>Coefficient de sécurité aluminium</t>
  </si>
  <si>
    <t>Coeficiente de seguridad aluminio</t>
  </si>
  <si>
    <t>Coeficiente de segurança alumínio</t>
  </si>
  <si>
    <r>
      <t xml:space="preserve">6. </t>
    </r>
    <r>
      <rPr>
        <b/>
        <sz val="10"/>
        <color theme="1"/>
        <rFont val="Verdana"/>
        <family val="2"/>
      </rPr>
      <t>Design checks for individual direction</t>
    </r>
  </si>
  <si>
    <r>
      <t xml:space="preserve">6. </t>
    </r>
    <r>
      <rPr>
        <b/>
        <sz val="10"/>
        <color theme="1"/>
        <rFont val="Verdana"/>
        <family val="2"/>
      </rPr>
      <t>Vérifications de conception pour les directions individuelles</t>
    </r>
  </si>
  <si>
    <t>Il dimensionamento e la vita degli elementi in legno devono essere svolti a parte. In particolare, per carichi perpendicolari all'asse della trave, si raccomanda di eseguire una verifica per splitting in entrambi gli elementi in legno.</t>
  </si>
  <si>
    <t>Dimensioning and life of the timber elements must be carried out separately. In particular, for loads perpendicular to the beam axis, it is recommended to perform a splitting check in both wooden elements.</t>
  </si>
  <si>
    <t>A dimensão e a vida dos elementos de madeira devem ser feitas à parte. Em particular, para cargas perpendiculares ao eixo da viga, é recomendável realizar uma verificação do splitting em ambos os elementos de madeira.</t>
  </si>
  <si>
    <t>6.1 vertikale Querkraft (Fv)</t>
  </si>
  <si>
    <t>6.1 Cisaillement verticale (FV)</t>
  </si>
  <si>
    <r>
      <rPr>
        <b/>
        <sz val="10"/>
        <color theme="1"/>
        <rFont val="Verdana"/>
        <family val="2"/>
      </rPr>
      <t>Characteristic resistance to bearing stress main element</t>
    </r>
  </si>
  <si>
    <r>
      <rPr>
        <b/>
        <sz val="10"/>
        <color theme="1"/>
        <rFont val="Verdana"/>
        <family val="2"/>
      </rPr>
      <t>Résistance caractéristique à la pression diamétrale de l'élément principal</t>
    </r>
  </si>
  <si>
    <t>Resistência característica ao recalcamento elemento principal</t>
  </si>
  <si>
    <t>Characteristic axial capacity of a screw on main element</t>
  </si>
  <si>
    <r>
      <rPr>
        <b/>
        <sz val="10"/>
        <color theme="1"/>
        <rFont val="Verdana"/>
        <family val="2"/>
      </rPr>
      <t>Capacité axiale caractéristique d'une vis sur un élément principal</t>
    </r>
  </si>
  <si>
    <t>Capacidad axial característica de un tornillo en el elemento principal</t>
  </si>
  <si>
    <t>Capacidade axial caraterística de um parafuso no elemento principal</t>
  </si>
  <si>
    <t>Load characteristic capacity for shear plane for fastening main element</t>
  </si>
  <si>
    <t>Capacidade de carga caraterística por plano de corte para fixação elemento principal</t>
  </si>
  <si>
    <t>Characteristic strength main element</t>
  </si>
  <si>
    <t>Charakteristischer Festigkeit des Hauptelements</t>
  </si>
  <si>
    <t>Résistance caractéristique de l'élément principal</t>
  </si>
  <si>
    <t>Resistencia característica elemento principal</t>
  </si>
  <si>
    <t>Resistência característica elemento principal</t>
  </si>
  <si>
    <t>Characteristic strength aluminium</t>
  </si>
  <si>
    <t>Résistance caractéristique aluminium</t>
  </si>
  <si>
    <t>Resistencia característica aluminio</t>
  </si>
  <si>
    <t>Resistência característica alumínio</t>
  </si>
  <si>
    <r>
      <rPr>
        <b/>
        <sz val="10"/>
        <color theme="1"/>
        <rFont val="Verdana"/>
        <family val="2"/>
      </rPr>
      <t>Characteristic resistance to bearing stress secondary element</t>
    </r>
  </si>
  <si>
    <r>
      <rPr>
        <b/>
        <sz val="10"/>
        <color theme="1"/>
        <rFont val="Verdana"/>
        <family val="2"/>
      </rPr>
      <t>Résistance caractéristique à la pression diamétrale de l'élément secondaire</t>
    </r>
  </si>
  <si>
    <t>Resistência característica ao recalcamento elemento secundário</t>
  </si>
  <si>
    <t>Characteristic axial capacity of a screw on secondary element</t>
  </si>
  <si>
    <r>
      <rPr>
        <b/>
        <sz val="10"/>
        <color theme="1"/>
        <rFont val="Verdana"/>
        <family val="2"/>
      </rPr>
      <t>Capacité axiale caractéristique d'une vis sur un élément secondaire</t>
    </r>
  </si>
  <si>
    <t>Capacidad axial característica de un tornillo en el elemento secundario</t>
  </si>
  <si>
    <t>Capacidade axial caraterística de um parafuso no elemento secundário</t>
  </si>
  <si>
    <r>
      <rPr>
        <b/>
        <sz val="10"/>
        <color theme="1"/>
        <rFont val="Verdana"/>
        <family val="2"/>
      </rPr>
      <t>Load characteristic capacity for shear plane for fastening secondary element</t>
    </r>
  </si>
  <si>
    <t>Capacité de charge caractéristique pour le plan de cisaillement pour la fixation de l'élément secondaire</t>
  </si>
  <si>
    <t>Capacidade de carga caraterística por plano de corte para fixação elemento secundário</t>
  </si>
  <si>
    <t>Characteristic strength secondary element</t>
  </si>
  <si>
    <t>Charakteristischer Festigkeit des Nebenelements</t>
  </si>
  <si>
    <t>Résistance caractéristique de l'élément secondaire</t>
  </si>
  <si>
    <t>Resistencia característica elemento secundario</t>
  </si>
  <si>
    <t>Resistência característica elemento secundário</t>
  </si>
  <si>
    <t>Characteristic strenght</t>
  </si>
  <si>
    <t>Charakteristische Tragfähigkeit</t>
  </si>
  <si>
    <t>Résistance caractéristique</t>
  </si>
  <si>
    <t>Resistencia característica</t>
  </si>
  <si>
    <t>Resistência característica</t>
  </si>
  <si>
    <t>Design strength</t>
  </si>
  <si>
    <t>Résistance du design</t>
  </si>
  <si>
    <t>Resistencia de diseño</t>
  </si>
  <si>
    <t>Resistência do design</t>
  </si>
  <si>
    <t>Verification of connection</t>
  </si>
  <si>
    <t>Prüfung der Verbindung</t>
  </si>
  <si>
    <t>Vérification de la connexion</t>
  </si>
  <si>
    <t>Comprobación de la conexión</t>
  </si>
  <si>
    <t>Verificação da conexão</t>
  </si>
  <si>
    <t>6.2 Taglio verticale di sollevamento (Fup)</t>
  </si>
  <si>
    <r>
      <rPr>
        <b/>
        <sz val="10"/>
        <color theme="1"/>
        <rFont val="Verdana"/>
        <family val="2"/>
      </rPr>
      <t>6.2 vertical Lifting shear (Fup)</t>
    </r>
  </si>
  <si>
    <t>6.2 Cisaillement vertical du soulèvement (Fup)</t>
  </si>
  <si>
    <t>6.2 Corte vertical de elevación (Fup)</t>
  </si>
  <si>
    <t>6.2 Corte vertical de elevação (Fup)</t>
  </si>
  <si>
    <r>
      <rPr>
        <b/>
        <sz val="10"/>
        <color theme="1"/>
        <rFont val="Verdana"/>
        <family val="2"/>
      </rPr>
      <t>Characteristic resistance to bearing stress</t>
    </r>
  </si>
  <si>
    <r>
      <rPr>
        <b/>
        <sz val="10"/>
        <color theme="1"/>
        <rFont val="Verdana"/>
        <family val="2"/>
      </rPr>
      <t>Résistance caractéristique au refoulement</t>
    </r>
  </si>
  <si>
    <t>Resistência característica ao recalcamento</t>
  </si>
  <si>
    <t>Characteristic axial capacity of an inclined screw</t>
  </si>
  <si>
    <t>Capacité axiale caractéristique d'une vis inclinée</t>
  </si>
  <si>
    <t>Capacidad axial característica de un tornillo inclinado</t>
  </si>
  <si>
    <t>Capacidade axial caraterística de um parafuso inclinado</t>
  </si>
  <si>
    <t>Load characteristic capacity for shear plane for fastening secondary element</t>
  </si>
  <si>
    <t>6.4 Seitliche Scherkraft (Flat)</t>
  </si>
  <si>
    <t>Effective number of screws for secondary or main element</t>
  </si>
  <si>
    <t>Nombre effective de vis par élément secondaire ou primaire</t>
  </si>
  <si>
    <t>Número efectivo de tornillos para elemento secundario o principal</t>
  </si>
  <si>
    <t>Número efetivo de parafusos por elemento principal ou secundário</t>
  </si>
  <si>
    <t>Coefficient in accordance with EN 1995-1-1, 6.1.5</t>
  </si>
  <si>
    <t>Koeffizient gemäß EN 1995-1-1, 6.1.5</t>
  </si>
  <si>
    <t>Coefficient selon EN 1995-1-1, 6.1.5</t>
  </si>
  <si>
    <t>Coeficiente de acuerdo con EN 1995-1-1, 6.1.5</t>
  </si>
  <si>
    <t>Coeficiente de acordo com EN 1995-1-1, 6.1.5</t>
  </si>
  <si>
    <t>Coefficient in accordance with EN 1995-1-1, eq. 6.62</t>
  </si>
  <si>
    <t>Koeffizient gemäß EN 1995-1-1, eq. 6.62</t>
  </si>
  <si>
    <t>Coefficient selon EN 1995-1-1, eq. 6,62</t>
  </si>
  <si>
    <t>Coeficiente de acuerdo con EN 1995-1-1, eq. 6.62</t>
  </si>
  <si>
    <t>Coeficiente de acordo com EN 1995-1-1, eq. 6.62</t>
  </si>
  <si>
    <t>7. Design checks in the case of combined loading</t>
  </si>
  <si>
    <t>7. Vérifications de conception en cas de sollicitations combinées</t>
  </si>
  <si>
    <t>Combined loading check required?</t>
  </si>
  <si>
    <r>
      <rPr>
        <b/>
        <sz val="10"/>
        <color theme="1"/>
        <rFont val="Verdana"/>
        <family val="2"/>
      </rPr>
      <t>Contrôle de contrainte de sollicitations combinées ?</t>
    </r>
  </si>
  <si>
    <t>Vertical shear</t>
  </si>
  <si>
    <t>vertikale Querkraft</t>
  </si>
  <si>
    <t>Cisaillement vertical</t>
  </si>
  <si>
    <t>Corte vertical</t>
  </si>
  <si>
    <r>
      <rPr>
        <b/>
        <sz val="10"/>
        <color theme="1"/>
        <rFont val="Verdana"/>
        <family val="2"/>
      </rPr>
      <t>vertical Lifting shear</t>
    </r>
  </si>
  <si>
    <t>Cisaillement vertical du soulèvement</t>
  </si>
  <si>
    <t>Corte vertical de elevación</t>
  </si>
  <si>
    <t>Corte vertical de elevação</t>
  </si>
  <si>
    <t>Axiale Wirkung</t>
  </si>
  <si>
    <t>Lateral shear</t>
  </si>
  <si>
    <t>Seitliche Scherkraft</t>
  </si>
  <si>
    <t>Cisaillement latéral</t>
  </si>
  <si>
    <t>Corte lateral</t>
  </si>
  <si>
    <t>Fv,d and Fup,d  are forces acting in opposite directions. Therefore only one of the forces Fv,d and Fup,d can act in combination with the forces Fax,d or Flat,d.</t>
  </si>
  <si>
    <t>Fv,d und Fup,d sind in entgegengesetzter Richtung wirkende Kräfte. Daher kann nur eine der Kräfte Fv,d und Fup,d in Kombination mit den Kräften Fax,d oder Flat,d wirken.</t>
  </si>
  <si>
    <t>Fv,d et Fup,d sont des forces qui agissent dans des directions opposées. C’est pourquoi seulement une des forces Fv,d et Fup,d peut agir en combinaison avec les forces Fax,d ou Flat,d.</t>
  </si>
  <si>
    <t>Fv,d e Fup,d são forças que atuam em direções opostas. Portanto, apenas uma das forças Fv,d e Fup,d pode atuar em combinação com as forças Fax,d ou Flat,d.</t>
  </si>
  <si>
    <r>
      <rPr>
        <b/>
        <sz val="10"/>
        <color theme="1"/>
        <rFont val="Verdana"/>
        <family val="2"/>
      </rPr>
      <t>Select the stresses to be considered in the combined check.</t>
    </r>
  </si>
  <si>
    <r>
      <rPr>
        <b/>
        <sz val="10"/>
        <color theme="1"/>
        <rFont val="Verdana"/>
        <family val="2"/>
      </rPr>
      <t>Sélectionnez les contraintes à prendre en compte dans le véhicule combiné.</t>
    </r>
  </si>
  <si>
    <t>8. Quantity and product codes summary</t>
  </si>
  <si>
    <t>8. Sommaire de quantité et de codes du produit</t>
  </si>
  <si>
    <t>8. Resumo quantidade y códigos produto</t>
  </si>
  <si>
    <t>Number of connections</t>
  </si>
  <si>
    <t>Anzahl der Verbindungen</t>
  </si>
  <si>
    <t>Nombre de connexions</t>
  </si>
  <si>
    <t>Número de conexiones</t>
  </si>
  <si>
    <t>Número de conexões</t>
  </si>
  <si>
    <t>Code</t>
  </si>
  <si>
    <t>Art.-Nr.</t>
  </si>
  <si>
    <t>Código</t>
  </si>
  <si>
    <t>Quantity required</t>
  </si>
  <si>
    <t>Quantité nécessaire</t>
  </si>
  <si>
    <t>Cantidad necesaria</t>
  </si>
  <si>
    <t>Quantidade necessária</t>
  </si>
  <si>
    <t>pcs</t>
  </si>
  <si>
    <t>Stk.</t>
  </si>
  <si>
    <t>pcs.</t>
  </si>
  <si>
    <t>unid.</t>
  </si>
  <si>
    <t>pçs</t>
  </si>
  <si>
    <t>Coupling hidden fastener</t>
  </si>
  <si>
    <t>Verdeckter Verbinder</t>
  </si>
  <si>
    <t>Connecteur à accroche invisible</t>
  </si>
  <si>
    <t>Conector oculto</t>
  </si>
  <si>
    <t>Ligador não aparente de engate</t>
  </si>
  <si>
    <t>Second concealed connector, if coupling connectors</t>
  </si>
  <si>
    <r>
      <rPr>
        <b/>
        <sz val="10"/>
        <color theme="1"/>
        <rFont val="Verdana"/>
        <family val="2"/>
      </rPr>
      <t>Deuxième connecteur caché, si les connecteurs sont accouplés</t>
    </r>
  </si>
  <si>
    <t>Segundo conector oculto, si conectores en pares</t>
  </si>
  <si>
    <t>Segundo ligador oculto, si ligadores acoplados</t>
  </si>
  <si>
    <t>LOCK STOP connector</t>
  </si>
  <si>
    <t>LOCK STOP Verbinder</t>
  </si>
  <si>
    <t>Connecteur LOCK STOP</t>
  </si>
  <si>
    <t>Conector LOCK STOP</t>
  </si>
  <si>
    <t>Rotho Blaas ha svolto le verifiche secondo il metodo degli Stati Limite in accordo EC 1995-1-1 Eurocodice 5-Progettazione delle strutture di legno. Per i valori di resistenza meccanica e per la geometria dei connettori LOCK e LOCK STOP si è fatto riferimento a quanto riportato in ETA-19/0831. Per i valori di resistenza meccanica e per la geometria delle viti si è fatto riferimento a quanto riportato in ETA-11/0030.
I valori statici sono stati calcolati assumendo uno spessore costante dell'elemento in metallo, includendo lo spessore del LOCK STOP.
La resistenza Fup con vite inclinata è stata calcolata considerando il numero efficace per viti caricate assialmente secondo ETA-11/0030.
Deve essere posta particolare attenzione nell'esecuzione della fresata nell'elemento principale o nella trave secondaria per limitare lo scorrimento laterale della connessione.
La resistenza Flat con vite inclinata è stata calcolata considerando il numero efficace di viti disposte parallelamente alla fibra secondo EN1995-1-1.
Nel caso di utilizzo di connettori accoppiati, deve essere posta particolare attenzione nell'allineamento durante la posa, in modo da evitare sollecitazioni differenti nei due connettori.
Deve essere sempre eserguito un fissaggio totale del connettore, utilizzando tutti i fori.
Non è ammesso il fissagio con chiodatura parziale. Per ogni metà connettore devono essere utilizzate viti con la stessa lunghezza.
Nel caso di fresata nell'elemento principale o nella trave secondaria deve essere posta particolare attenzione nell'esecuzione della fresata stessa per limitare lo scorrimento laterale della connessione.
Il dimensionamento e la verifica degli elementi in legno devono essere svolti a parte. Prima dell'esecuzione, tutti i calcoli devono essere verificati ed approvati dal progettista responsabile. È dovere del progettista responsabile verificare ad ogni utilizzo la conformità dei dati alla normativa vigente e al progetto. La responsabilità ultima della scelta del prodotto adeguato per una specifica applicazione spetta al progettista.</t>
  </si>
  <si>
    <t>Rotho Blaas carried out the checks according to the Limit State method in accordance with EC 1995-1-1 Eurocode 5 - Design of timber structures. For the mechanical strength values and the geometry of the LOCK and LOCK STOP connector, reference was made to ETA-19/0831. For the mechanical resistance values and the geometry of the screws, reference was made to ETA-11/0030.
Static values were calculated assuming a constant thickness of the metal element, including the thickness of the LOCK STOP.
The Fup strength with inclined screw was calculated considering the effective number for axially loaded screws according to ETA-11/0030.
Special care must be taken in the execution of cutting the rebate in the main element or secondary beam to limit the lateral sliding of the connection.
The Flat strength with inclined screw was calculated considering the effective number of screws arranged parallel to the fibre according to EN 1995-1-1.
If coupled connectors are used, special care must be taken in alignment during installation to avoid different stresses in the two connectors.
The connector must always be fully fastened using all the holes.
Fastening with partial nailing is not allowed. Screws with the same length must be used for each connector half.
In the case of grooving in the main element or in the secondary beam, particular care must be taken when carrying out the grooving in order to limit the lateral sliding of the connection.
Dimensioning and verification of the timber elements must be carried out separately. 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</si>
  <si>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r>
      <t xml:space="preserve">Rotho Blaas a effectué les vérifications selon la méthode des états-limites conformément à l'Eurocode 5 EC 1995-1-1 Conception et calcul des structures en bois. Pour les valeurs de résistance mécanique et pour la géométrie des connecteurs LOCK et LOCK STOP, il a été fait référence à ce qui est reporté dans ETA-19/0831. Pour les valeurs de résistance mécanique et pour la géométrie des vis, il a été fait référence à ce qui est reporté dans ETA-11/0030.
Les valeurs statiques ont été calculées en supposant une épaisseur constante de l'élément métallique, incluant l'épaisseur du LOCK STOP.
La résistance Fup avec vis inclinée a été calculée en tenant compte du nombre efficace de vis chargées axialement selon ETA-11/ 0030.
Une attention particulière doit être portée à l'exécution du fraisage dans l'élément principal ou dans la poutre secondaire pour limiter le glissement latéral de l'assemblage.
La résistance Flat avec vis inclinée a été calculée en tenant compte du nombre efficace de vis disposées parallèlement à la fibre selon EN 1995-1-1.
En cas d’utilisation de connecteurs couplés, une attention particulière doit être portée à l’alignement durant la pose, afin d’éviter des sollicitations différentes sur les deux connecteurs.
Une fixation totale du connecteur doit toujours être effectuée en utilisant tous les trous.
La fixation avec clouage partiel n’est pas autorisé. Des vis de même longueur doivent être utilisées pour chaque moitié de connecteur.
</t>
    </r>
    <r>
      <rPr>
        <b/>
        <sz val="10"/>
        <color theme="1"/>
        <rFont val="Verdana"/>
        <family val="2"/>
      </rPr>
      <t>En cas de fraisage dans l'élément principal ou la poutre secondaire, il convient de faire particulièrement attention lors du fraisage afin de limiter le glissement latéral de la connexion.</t>
    </r>
    <r>
      <rPr>
        <sz val="10"/>
        <color theme="1"/>
        <rFont val="Verdana"/>
        <family val="2"/>
      </rPr>
      <t xml:space="preserve">
</t>
    </r>
    <r>
      <rPr>
        <sz val="10"/>
        <color theme="1"/>
        <rFont val="Verdana"/>
        <family val="2"/>
      </rPr>
      <t>Le dimensionnement et la vérification des éléments en bois seront effectués séparément.</t>
    </r>
    <r>
      <rPr>
        <sz val="10"/>
        <color theme="1"/>
        <rFont val="Verdana"/>
        <family val="2"/>
      </rPr>
      <t xml:space="preserve"> </t>
    </r>
    <r>
      <rPr>
        <b/>
        <sz val="10"/>
        <color theme="1"/>
        <rFont val="Verdana"/>
        <family val="2"/>
      </rPr>
      <t>Tous les calculs doivent être vérifiés et approuvés par le concepteur responsable avant leur exécution.</t>
    </r>
    <r>
      <rPr>
        <sz val="10"/>
        <color theme="1"/>
        <rFont val="Verdana"/>
        <family val="2"/>
      </rPr>
      <t xml:space="preserve"> </t>
    </r>
    <r>
      <rPr>
        <sz val="10"/>
        <color theme="1"/>
        <rFont val="Verdana"/>
        <family val="2"/>
      </rPr>
      <t>Le concepteur responsable ont le devoir de vérifier, à chaque utilisation, la conformité des données à la règlementation en vigueur et au projet.</t>
    </r>
    <r>
      <rPr>
        <sz val="10"/>
        <color theme="1"/>
        <rFont val="Verdana"/>
        <family val="2"/>
      </rPr>
      <t xml:space="preserve"> </t>
    </r>
    <r>
      <rPr>
        <sz val="10"/>
        <color theme="1"/>
        <rFont val="Verdana"/>
        <family val="2"/>
      </rPr>
      <t>La responsabilité ultime du choix du produit approprié pour une application spécifique incombe au concepteur.</t>
    </r>
  </si>
  <si>
    <t>This information on the verification sheet is intended to be an indication. Nevertheless, the responsibility for the connection project lies entirely with the designer.</t>
  </si>
  <si>
    <t>Diese Angaben zum Verifikationsblatt sind als Richtwerte zu verstehen, wobei die volle Verantwortung für das Anschlussprojekt beim Konstrukteur liegt.</t>
  </si>
  <si>
    <t>Estas indicaciones relativas a la hoja de verificación deben ser interpretadas como indicativas, entendiéndose que la responsabilidad completa del proyecto de conexión recae en el proyectista.</t>
  </si>
  <si>
    <t>Estas indicações relativas à ficha de verificação devem ter um carácter indicativo, no pressuposto de que a responsabilidade total do projecto de ligação incumbe ao projectista.</t>
  </si>
  <si>
    <t>The design of the wooden elements is to be carried out separately by the structural designer.</t>
  </si>
  <si>
    <t>Die Bemessung der Holzelemente muss getrennt vom Tragwerksplaner durchgeführt werden.</t>
  </si>
  <si>
    <t>La conception des éléments en bois doit être effectuée séparément du concepteur de la structure.</t>
  </si>
  <si>
    <t>A concepção dos elementos de madeira deve ser realizada separadamente do projectista da estrutura.</t>
  </si>
  <si>
    <t>As specified in the General Terms and conditions accepted by the user when downloading the spreadsheet:the results obtained with this calculation tool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</si>
  <si>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Comme indiqué dans les conditions générales acceptées par l'utilisateur lors du téléchargement du tableur : les résultats obtenus avec cet outil de calcul sont de nature indicative et doivent être considérés comme un service technico-commercial dans le cadre de l'activité commerciale de Rotho Blaas srl. Le nombre et l'épaisseur des inserts doivent être déterminés par le concepteur responsable qui est tenu de vérifier l'exactitude des résultats découlant du traitement des données saisies. Rotho Blaas srl ne garantit pas le respect de la législation en vigueur et la conception des calculs effectués à l'aide de ce tableur. En particulier, suite à la modification des dispositions pertinentes telles que, par exemple, les normes, les approbations, etc. le programme peut devenir, en partie ou en totalité, invalide. Rotho Blaas srl ne garantit pas et ne sera pas responsable des dommages ou conséquences directs ou indirects ou autres, de quelque manière que ce soit (garantie pour les défauts, garantie pour le mauvais fonctionnement, responsabilité du produit ou responsabilité légale, etc.) L'utilisateur déclare utiliser le tableur en tant que professionnel avec l'obligation et la responsabilité de vérifier que le tableur répond à ses besoins spécifiques.</t>
  </si>
  <si>
    <t>Como especificado nas Condições Gerais aceites pelo utilizador ao descarregar a folha de cálculo: os resultados obtidos com esta ferramenta de cálculo são de carácter indicativo e devem ser considerados como um serviço técnico-comercial no âmbito da actividade de vendas da Rotho Blaas srl. O número e a espessura das inserções devem ser determinados pelo projectista responsável que deve verificar a exactidão dos resultados decorrentes do tratamento dos dados introduzidos. A Rotho Blaas srl não garante o cumprimento da legislação em vigor nem a concepção dos cálculos efectuados através desta folha de cálculo. Em particular, na sequência da alteração das disposições pertinentes como, por exemplo, normas, aprovações, etc., o programa pode tornar-se, em parte ou na totalidade, inválido. A Rotho Blaas srl não garante e não será responsável por danos ou consequências directas ou indirectas ou outras, de qualquer forma (garantia por defeitos, garantia por mau funcionamento, responsabilidade pelo produto ou responsabilidade legal, etc.). O Utilizador declara utilizar a folha de cálculo como profissional com a obrigação e responsabilidade de verificar se a folha de cálculo satisfaz as suas necessidades específicas.</t>
  </si>
  <si>
    <t>Project</t>
  </si>
  <si>
    <t>!! element too small for the selected connector !!</t>
  </si>
  <si>
    <t>!! Element zu klein für den gewählten Anschluss !!</t>
  </si>
  <si>
    <t>!! élément trop petit pour le connecteur sélectionné !!</t>
  </si>
  <si>
    <t>¡¡ elemento demasiado pequeño para el conector seleccionado !!</t>
  </si>
  <si>
    <t>!! elemento demasiado pequeno para o conector seleccionado !!</t>
  </si>
  <si>
    <t>VERIFICATO</t>
  </si>
  <si>
    <t>NON VERIFICATO</t>
  </si>
  <si>
    <t>VERIFICADO</t>
  </si>
  <si>
    <t>VERIFIED</t>
  </si>
  <si>
    <t>NOT VERIFIED</t>
  </si>
  <si>
    <t>NICHT VERIFIZIERT</t>
  </si>
  <si>
    <t>NON VÉRIFIÉ</t>
  </si>
  <si>
    <t>NO VERIFICADO</t>
  </si>
  <si>
    <t>NÃO VERIFICADO</t>
  </si>
  <si>
    <t>Notch in main beam</t>
  </si>
  <si>
    <t>Notch in secondary beam</t>
  </si>
  <si>
    <t>USE PERCENTAGE OF CONNECTION</t>
  </si>
  <si>
    <t>Timber class</t>
  </si>
  <si>
    <t>Characteristic strength for rolling shear</t>
  </si>
  <si>
    <t>Connector code</t>
  </si>
  <si>
    <t>Timber</t>
  </si>
  <si>
    <t>6.4 Lateral shear load (Flat)</t>
  </si>
  <si>
    <t>PERCENTAGEM DE UTILIZAÇÃO DA LIGAÇÃO</t>
  </si>
  <si>
    <t>7. Carga combinada</t>
  </si>
  <si>
    <t>6.2 Corte vertical ascendente (Fup)</t>
  </si>
  <si>
    <t>Resistência ao corte caraterístico para laminação de fibra</t>
  </si>
  <si>
    <t>Caracterizado por uma humidade do material em equilíbrio com o ambiente a uma temperatura de 20 ºC e uma humidade relativa do ar circundante que não excede 65%, se não por algumas semanas por ano.</t>
  </si>
  <si>
    <t>Stützenfräsung</t>
  </si>
  <si>
    <t>Fräsung Hauptträger</t>
  </si>
  <si>
    <t>Fräsung Nebenträger</t>
  </si>
  <si>
    <t>Schraubentyp</t>
  </si>
  <si>
    <t>6.2 Abhebende Kräfte (Fup)</t>
  </si>
  <si>
    <t>7. Kombinierte Beanspruchung</t>
  </si>
  <si>
    <t>6.4 Seitliche Beanspruchung (Flat)</t>
  </si>
  <si>
    <t>vertikale Scherkraft</t>
  </si>
  <si>
    <t>Abhebende Scherkraft</t>
  </si>
  <si>
    <t>Axiale Beanspruchung</t>
  </si>
  <si>
    <t>Seitliche Beanspruchung</t>
  </si>
  <si>
    <t>Breite des Balkens</t>
  </si>
  <si>
    <t>Breite der Stütze</t>
  </si>
  <si>
    <t>Tiefe der Stütze</t>
  </si>
  <si>
    <t>Balken oder Stütze:</t>
  </si>
  <si>
    <t>Breite</t>
  </si>
  <si>
    <t>geneigte Schrauben für abhebende Kräfte und/oder den seitlichen Widerstand</t>
  </si>
  <si>
    <t>Charakterisiert durch eine Materialfeuchtigkeit, die im Gleichgewicht mit der Umgebung steht bei einer Temperatur von 20 °C und einer relativen Luftfeuchtigkeit der Umgebungsluft, die 65 % maximal für einige Wochen pro Jahr überschreitet</t>
  </si>
  <si>
    <t>Zeichnet sich durch eine Materialfeuchtigkeit aus, die im Gleichgewicht mit der Umgebung steht bei einer Temperatur von 20 °C und einer relativen Luftfeuchtigkeit der Umgebungsluft von mehr als 85 % für nur wenige Wochen im Jahr.</t>
  </si>
  <si>
    <t>Hat eine höhere Luftfeuchtigkeit als Serviceklasse 2.</t>
  </si>
  <si>
    <t>Lange Lasteinwirkungsdauer</t>
  </si>
  <si>
    <t>Mittlere Lasteinwirkungsdauer</t>
  </si>
  <si>
    <t>Kurze Lasteinwirkungsdauer</t>
  </si>
  <si>
    <t>Eigengewicht und ständige Lasten struktureller Art während des normalen Betriebs der Struktur.</t>
  </si>
  <si>
    <t>Ständige Lasten nicht-struktureller Art, die sich während des normalen Betriebs der Struktur ändern können, sowie variable Lasten bei Lagerräumen und Magazinen.</t>
  </si>
  <si>
    <t>Veränderliche Last bei Gebäuden, mit Ausnahme von Lagerräumen und Magazinen.</t>
  </si>
  <si>
    <t>Spitzenwinddruck und außergewöhnliche Lasten</t>
  </si>
  <si>
    <t>Charakteristischer Festigkeit des Hauptelements gegenüber Lochleibung</t>
  </si>
  <si>
    <t>Charakteristische axiale Tragfähigkeit der Schraube auf dem Hauptelement</t>
  </si>
  <si>
    <t>Charakteristische Tragfähigkeit je Scherfuge für die Hauptelementbefestigung</t>
  </si>
  <si>
    <t>Charakteristische Festigkeit des Hauptelements</t>
  </si>
  <si>
    <t>Charakteristische Festigkeit des Nebenelements gegenüber Lochleibung</t>
  </si>
  <si>
    <t>Charakteristische Tragfähigkeit je Scherfuge für die Nebenelementbefestigung</t>
  </si>
  <si>
    <t>Charakteristische Festigkeit des Nebenelements</t>
  </si>
  <si>
    <t>Charakteristische Festigkeit gegen Lochleibung</t>
  </si>
  <si>
    <t>Abhebende Kräfte</t>
  </si>
  <si>
    <t>Charakteristische Druckfestigkeit in paralleler Richtung zur Faser</t>
  </si>
  <si>
    <t>Anzahl der Grundmodule gemäß ETA-19/0831</t>
  </si>
  <si>
    <t>Die Bemessung und Dauerhaftigkeit der Holzelemente müssen getrennt durchgeführt werden. Insbesondere bei Lasten senkrecht zur Balkenachse wird empfohlen, einen Spaltnachweis in beiden Holzelementen durchzuführen.</t>
  </si>
  <si>
    <t>Wie in den Allgemeinen Geschäftsbedingungen angegeben, die der Benutzer beim Herunterladen der Kalkulationstabelle akzeptiert: die mit diesem Berechnungswerkzeug erzielten Ergebnisse haben indikativen Charakter und sind als technisch-kommerzielle Dienstleistung im Rahmen der Verkaufsaktivität von Rotho Blaas srl zu betrachten. Die Anzahl und Dicke der Einsätze muss vom verantwortlichen Konstrukteur bestimmt werden, der die Genauigkeit der Ergebnisse, die sich aus der Verarbeitung der eingegebenen Daten ergeben, überprüfen muss. Rotho Blaas srl garantiert nicht die Einhaltung der geltenden Gesetzgebung und die Auslegung der Berechnungen, die mit Hilfe dieses Arbeitsblattes durchgeführt werden. Insbesondere kann das Programm nach der Änderung der einschlägigen Bestimmungen, wie z.B. Normen, Zulassungen usw., ganz oder teilweise ungültig werden. Rotho Blaas srl übernimmt keine Garantie und ist nicht verantwortlich für direkte oder indirekte Schäden oder Konsequenzen oder anderweitiges (Mängelgewährleistung, Garantie für Fehlfunktionen, Produkt- oder Rechtsverantwortung usw.). Der Benutzer erklärt, das Kalkulationsprogramm als Fachmann zu benutzen, mit der Verpflichtung und Verantwortung, zu überprüfen, ob das Kalkulationsprogramm seinen spezifischen Bedürfnissen entspricht.</t>
  </si>
  <si>
    <t>Für Schrauben am Haupt- oder Nebenträger mit der charakteristischen Dichte ρk≤420 kg/ m3 ist keine Vorbohrung erforderlich. Für Haupt- oder Nebenträger mit der charakteristischen Dichte ρk&gt;420 kg/m3 ist eine Vorbohrung erforderlich. Bei Schrauben an der Stütze ist das Vorbohren immer obligatorisch.</t>
  </si>
  <si>
    <t>PROZENTSATZ DER VERBINDUNGSAUSLASTUNG</t>
  </si>
  <si>
    <t>6.1 vertikaler Scherwert (Fv)</t>
  </si>
  <si>
    <t>Charakteristische Scherfestigkeit für Rollschub</t>
  </si>
  <si>
    <t>Zur Befestigung von Schrauben an Holzelementen mit einer charakteristischen Dichte ρk&gt;420 kg/m3 ist ein Vorbohren vorgeschrieben.</t>
  </si>
  <si>
    <t>Bei hohen Winkeln sicherstellen, dass die Schrauben nicht geometrisch aus den Profilen herausragen.</t>
  </si>
  <si>
    <t>Verriegeln Sie den Kontaktbereich des LOCK T mit dem Zylinderkopf oder der Säule</t>
  </si>
  <si>
    <t>Schraubencode</t>
  </si>
  <si>
    <t>Durchschnittliche Windstärke.</t>
  </si>
  <si>
    <t>Kontinuierlich kontrollierte Produktion (VOC &lt; 15 %)</t>
  </si>
  <si>
    <t>Sicherheitskoeffizient der Verbindung</t>
  </si>
  <si>
    <t>Sicherheitskoeffizient Aluminium</t>
  </si>
  <si>
    <t>6. Projektnachweise je Richtung</t>
  </si>
  <si>
    <t>Charakteristische Festigkeit Aluminium</t>
  </si>
  <si>
    <t>Charakteristische axiale Tragfähigkeit der Schraube auf dem Nebenelement</t>
  </si>
  <si>
    <t>Design-Festigkeit</t>
  </si>
  <si>
    <t>Charakteristische axiale Tragfähigkeit der geneigten Schraube</t>
  </si>
  <si>
    <t>Charakteristischer Festigkeit gegen Lochleibung</t>
  </si>
  <si>
    <t>Charakteristische Tragkraft je Scherfuge zur Befestigung des Nebenelements</t>
  </si>
  <si>
    <t>Effektive Anzahl von Schrauben pro Neben- oder Hauptelement</t>
  </si>
  <si>
    <t>7. Konstruktionsprüfungen bei kombinierter Spannung</t>
  </si>
  <si>
    <t>Kombinierte Belastungsprüfung erforderlich?</t>
  </si>
  <si>
    <t>Wählen Sie die Spannungen aus, die im kombinierten Nachweis berücksichtigt werden sollen.</t>
  </si>
  <si>
    <t>8. Übersicht Menge und Produktcodes</t>
  </si>
  <si>
    <t>Erforderliche Menge</t>
  </si>
  <si>
    <t>Zweiter Verdeckter Verbinder, wenn gekoppelte Verbinder</t>
  </si>
  <si>
    <t>Rotho Blaas hat die Prüfungen gemäß Grenzzustandsmethode laut DIN EC 1995-1-1 Eurocode 5 - Bemessung und Konstruktion von Holzbauten vorgenommen. Bei den Werten für die mechanische Festigkeit und die Geometrie der LOCK und LOCK STOP Verbinder wurde auf die Angaben in der ETA-19/0831 Bezug genommen. Bei den Werten für die mechanische Festigkeit und die Geometrie der Schrauben wurde auf die Angaben in der ETA-11/0030 Bezug genommen.
Für die Berechnung der statischen Werte wurde eine konstante Stärke des Metallelements einschließlich der Stärke des LOCK STOP angenommen.
Die Festigkeit Fup mit geneigter Schraube wurde unter Berücksichtigung der axial belasteten wirksamen Schraubenanzahl nach ETA-11/0030 berechnet.
Bei der Ausführung der Ausfräsung im Hauptelement oder im Nebenträger ist besonders darauf zu achten, dass die seitliche Verschiebung der Verbindung begrenzt wird.
Die Festigkeit Flat mit geneigter Schraube wurde unter Berücksichtigung der parallel zur Faser angeordneten wirksamen Schraubenanzahl nach EN 1995-1-1 berechnet.
Wenn gekoppelte Verbinder verwendet werden, muss bei der Montage besonders auf die Ausrichtung geachtet werden, um unterschiedliche Beanspruchungen in den beiden Verbindern zu vermeiden.
Es muss immer eine vollständige Befestigung des Verbinders erfolgen, wobei alle Löcher genutzt werden müssen.
Eine Befestigung mit Teilausnagelung ist nicht zulässig. Für jede Verbindungshälfte müssen Schrauben mit gleicher Länge verwendet werden.
Beim Fräsen des Hauptelements oder des Sekundärbalkens ist beim Fräsen besonders darauf zu achten, dass die seitliche Gleitfähigkeit der Verbindung begrenzt wird.
Die Bemessung und Überprüfung der Holzelemente müssen getrennt durchgeführt werden. Alle Berechnungen müssen vor der Ausführung vom verantwortlichen Konstrukteur überprüft und genehmigt werden. Der verantwortliche Planer ist verpflichtet, bei jeder Nutzung die Übereinstimmung der Daten mit den geltenden Vorschriften und dem Projekt zu überprüfen. Die letztendliche Verantwortung für die Auswahl des geeigneten Produkts für eine bestimmte Anwendung liegt beim Planer.</t>
  </si>
  <si>
    <t>Acción de corte por elevación</t>
  </si>
  <si>
    <t>Densidad característica</t>
  </si>
  <si>
    <t>Resistencia característica al corte por laminado de fibra</t>
  </si>
  <si>
    <t>Para ángulos altos, compruebe que los tornillos no sobresalen geométricamente de las secciones.</t>
  </si>
  <si>
    <t>Número de módulos básicos ETA-19/0831</t>
  </si>
  <si>
    <t>Área de contacto entre el conector LOCK T y cabeza o pilar</t>
  </si>
  <si>
    <t>Tornillos inclinados para levantamiento y/o resistencia lateral</t>
  </si>
  <si>
    <t>Diámetro rosca</t>
  </si>
  <si>
    <t>Peso propio y cargas no removibles durante el funcionamiento normal de la estructura.</t>
  </si>
  <si>
    <t>Cargas variables de edificios, excepto las relativas a almacenes y depósitos.</t>
  </si>
  <si>
    <t>Producción controlada continuamente (VOC &lt;15%)</t>
  </si>
  <si>
    <t>6. Comprobaciones de diseño para direcciones individuales</t>
  </si>
  <si>
    <t>Resistencia característica al aplastamiento del elemento principal</t>
  </si>
  <si>
    <t>Resistencia característica al aplastamiento del elemento secundario</t>
  </si>
  <si>
    <t>Capacidad de carga característica para el plano de corte para la fijación del elemento secundario</t>
  </si>
  <si>
    <t>Resistencia característica al aplastamiento</t>
  </si>
  <si>
    <t>8. Resumen de cantidad y códigos de producto</t>
  </si>
  <si>
    <t>Como se especifica en las Condiciones Generales aceptadas por el usuario al descargar la hoja de cálculo: los resultados obtenidos con esta herramienta de cálculo son de carácter indicativo y deben ser considerados como un servicio técnico-comercial dentro de la actividad comercial de Rotho Blaas srl. El número y el espesor de las placas deben ser determinados por el proyectista responsable, que debe comprobar la exactitud de los resultados derivados del procesamiento de los datos introducidos. Rotho Blaas srl no garantiza el cumplimiento de la legislación vigente y el diseño de los cálculos realizados a través de esta hoja de cálculo. En particular, tras la modificación de las disposiciones pertinentes como, por ejemplo, normas, aprobaciones, etc. El programa puede resultar, en parte o en su totalidad, inválido. Rotho Blaas srl no garantiza y no será responsable de los daños o consecuencias directas o indirectas o de otro tipo, de cualquier manera (garantía por defectos, garantía por mal funcionamiento, responsabilidad legal o del producto, etc.). El usuario declara utilizar la hoja de cálculo como un profesional con la obligación y la responsabilidad de verificar que la hoja de cálculo satisface sus necesidades específicas.</t>
  </si>
  <si>
    <t>Para tornillos de fijación sobre el elemento principal y/o secundario, con densidad característica ρk≤420 kg/m3, el pre-agujero no es obligatorio. Para viga principal y/o secundaria con densidad característica ρk&gt;420 kg/m3, el pre-agujero es obligatorio. Para tornillos en pilares, el pre-agujero siempre es obligatorio.</t>
  </si>
  <si>
    <t xml:space="preserve">Clase de resistencia de la madera </t>
  </si>
  <si>
    <t>Se caracteriza por una humedad del material en equilibrio con el ambiente a una temperatura de 20°C y una humedad relativa del aire circundante que no supera el 65%, si no durante unas semanas al año.</t>
  </si>
  <si>
    <t>Se caracteriza por una humedad del material en equilibrio con el ambiente a una temperatura de 20°C y una humedad relativa del aire circundante de más del 85% durante solo unas semanas al año.</t>
  </si>
  <si>
    <t>Tiene una humedad más alta que la clase de servicio 2.</t>
  </si>
  <si>
    <t>Cargas permanentes que pueden cambiar durante el funcionamiento normal de la estructura y cargas variables relacionadas con almacenes y depósitos.</t>
  </si>
  <si>
    <t>Acción media del viento</t>
  </si>
  <si>
    <t>El dimensionamiento y la vida útil de los elementos de madera deben efectuarse por separado. En concreto, para cargas perpendiculares al eje de las vigas, se aconseja realizar una comprobación por separado de ambos elementos de madera.</t>
  </si>
  <si>
    <t>Capacidad de carga característica para el plano de corte para la fijación del elemento principal</t>
  </si>
  <si>
    <t>7. Comprobaciones de diseño en caso de cargas combinadas</t>
  </si>
  <si>
    <t>¿Es necesaria la comprobación de cargas combinadas?</t>
  </si>
  <si>
    <t>Fv,d y Fup,d son fuerzas que actúan en direcciones opuestas. Por lo tanto, solo una de las fuerzas Fv,d y Fup,d puede actuar en combinación con las fuerzas Fax,d o Flat,d.</t>
  </si>
  <si>
    <t>Seleccione las tensiones que se deben tener en cuenta en la comprobación combinada.</t>
  </si>
  <si>
    <t>Rotho Blaas ha efectuado las comprobaciones según el método de los estados límite de acuerdo con la norma EC 1995-1-1 Eurocódigo 5 - Diseño de estructuras de madera. Para los valores de resistencia mecánica y para la geometría de los conectores LOCK y LOCK STOP se han tomado como referencia las indicaciones de ETA-19/0831. Para los valores de resistencia mecánica y para la geometría de los tornillos se han tomado como referencia las indicaciones de ETA-11/0030.
Los valores estáticos se han calculado suponiendo un espesor constante del elemento de metal e incluyendo el espesor del LOCK STOP.
La resistencia Fup con tornillo inclinado se ha calculado considerando el número eficaz de tornillos cargados axialmente según ETA-11/ 0030.
Se debe prestar especial atención a la ejecución del fresado en el elemento principal o en la viga secundaria para limitar el deslizamiento lateral de la conexión.
La resistencia Flat con tornillo inclinado se ha calculado considerando el número eficaz de tornillos dispuestos paralelamente a la fibra según EN 1995-1-1.
Si se usan conectores en pares, se tiene que prestar una especial atención a su alineación durante la colocación para evitar que las solicitaciones sean diferentes en los dos conectores.
Se debe efectuar siempre una fijación total del conector, utilizando todos los agujeros.
No se admiten fijaciones con clavado parcial. Para cada mitad de conector, se deben utilizar tornillos de la misma longitud.
En el caso de fresado en el elemento principal o en la viga secundaria, se debe tener especial cuidado al realizar el fresado para limitar el deslizamiento lateral de la conexión.
El dimensionamiento y el control de los elementos de madera deben efectuarse por separado. Todos los cálculos deben ser verificados y aprobados por el diseñador responsable antes de su ejecución. Es deber del proyectista responsable comprobar en cada uso que los datos sean conformes con la normativa vigente y con el proyecto. La responsabilidad final de elegir el producto adecuado para una aplicación específica recae en el proyectista.</t>
  </si>
  <si>
    <t>El diseño de los elementos de madera debe realizarse por separado por parte del calculista.</t>
  </si>
  <si>
    <r>
      <rPr>
        <sz val="10"/>
        <color theme="1"/>
        <rFont val="Verdana"/>
        <family val="2"/>
      </rPr>
      <t>Resistência característica ao corte para laminação de fibra</t>
    </r>
  </si>
  <si>
    <r>
      <rPr>
        <sz val="10"/>
        <color theme="1"/>
        <rFont val="Verdana"/>
        <family val="2"/>
      </rPr>
      <t>Para ângulos elevados, verifique se os parafusos não se sobressaem geometricamente das secções.</t>
    </r>
  </si>
  <si>
    <r>
      <rPr>
        <sz val="10"/>
        <color theme="1"/>
        <rFont val="Verdana"/>
        <family val="2"/>
      </rPr>
      <t>Os conetores acoplados devem ser iguais em altura!</t>
    </r>
  </si>
  <si>
    <r>
      <rPr>
        <sz val="10"/>
        <color theme="1"/>
        <rFont val="Verdana"/>
        <family val="2"/>
      </rPr>
      <t>Número de módulos básicos ETA-19/0831</t>
    </r>
  </si>
  <si>
    <r>
      <rPr>
        <sz val="10"/>
        <color theme="1"/>
        <rFont val="Verdana"/>
        <family val="2"/>
      </rPr>
      <t>Bloqueie a área de contacto do conetor em T com a cabeça do motor ou a coluna</t>
    </r>
  </si>
  <si>
    <r>
      <rPr>
        <sz val="10"/>
        <color theme="1"/>
        <rFont val="Verdana"/>
        <family val="2"/>
      </rPr>
      <t>Caracteriza-se por uma humidade do material em equilíbrio com o ambiente a uma temperatura de 20 ºC e uma humidade relativa do ar circundante superior a 85% durante apenas algumas semanas por ano.</t>
    </r>
  </si>
  <si>
    <r>
      <rPr>
        <sz val="10"/>
        <color theme="1"/>
        <rFont val="Verdana"/>
        <family val="2"/>
      </rPr>
      <t>Tem uma umidade mais alta do que a classe de serviço 2.</t>
    </r>
  </si>
  <si>
    <r>
      <rPr>
        <sz val="10"/>
        <color theme="1"/>
        <rFont val="Verdana"/>
        <family val="2"/>
      </rPr>
      <t>Peso próprio e cargas não removíveis durante o funcionamento normal da estrutura.</t>
    </r>
  </si>
  <si>
    <r>
      <rPr>
        <sz val="10"/>
        <color theme="1"/>
        <rFont val="Verdana"/>
        <family val="2"/>
      </rPr>
      <t>Cargas permanentes que podem mudar durante o funcionamento normal da estrutura e cargas variáveis relacionadas com armazéns e depósitos.</t>
    </r>
  </si>
  <si>
    <r>
      <rPr>
        <sz val="10"/>
        <color theme="1"/>
        <rFont val="Verdana"/>
        <family val="2"/>
      </rPr>
      <t>Cargas variáveis de edifícios, exceto as relativas a armazéns e depósitos.</t>
    </r>
  </si>
  <si>
    <r>
      <rPr>
        <sz val="10"/>
        <color theme="1"/>
        <rFont val="Verdana"/>
        <family val="2"/>
      </rPr>
      <t>Ação média do vento.</t>
    </r>
  </si>
  <si>
    <r>
      <rPr>
        <sz val="10"/>
        <color theme="1"/>
        <rFont val="Verdana"/>
        <family val="2"/>
      </rPr>
      <t>Ação de vento de pico e ação incrível.</t>
    </r>
  </si>
  <si>
    <r>
      <rPr>
        <sz val="10"/>
        <color theme="1"/>
        <rFont val="Verdana"/>
        <family val="2"/>
      </rPr>
      <t>Produção controlada continuamente (VOC inferior a 15%)</t>
    </r>
  </si>
  <si>
    <r>
      <t xml:space="preserve">6. </t>
    </r>
    <r>
      <rPr>
        <sz val="10"/>
        <color theme="1"/>
        <rFont val="Verdana"/>
        <family val="2"/>
      </rPr>
      <t>Verificações de projeto para direção individual</t>
    </r>
  </si>
  <si>
    <r>
      <t xml:space="preserve">7. </t>
    </r>
    <r>
      <rPr>
        <sz val="10"/>
        <color theme="1"/>
        <rFont val="Verdana"/>
        <family val="2"/>
      </rPr>
      <t>Verificações de projeto em caso de estresse combinado</t>
    </r>
  </si>
  <si>
    <r>
      <rPr>
        <sz val="10"/>
        <color theme="1"/>
        <rFont val="Verdana"/>
        <family val="2"/>
      </rPr>
      <t>Verificação combinada de esforço necessária?</t>
    </r>
  </si>
  <si>
    <r>
      <rPr>
        <sz val="10"/>
        <color theme="1"/>
        <rFont val="Verdana"/>
        <family val="2"/>
      </rPr>
      <t>Selecione as tensões a considerar no veículo combinado.</t>
    </r>
  </si>
  <si>
    <r>
      <t xml:space="preserve">A Rotho Blaas efetuou as verificações segundo o método dos Estados-Limite em conformidade com a EC 1995-1-1 Eurocódigo 5 - Conceção de estruturas de madeira. Para os valores de resistência mecânica e para a geometria dos conectores LOCK e LOCK STOP, fez-se referência ao que consta da ETA-19/0831. Para os valores de resistência mecânica e para a geometria dos parafusos, fez-se referência ao que consta da ETA-11/0030.
Os valores estáticos foram calculados considerando uma espessura constante do elemento metálico, incluindo a espessura do LOCK STOP.
A resistência Fup com parafuso inclinado foi calculado considerando o número efetivo de parafusos carregados axialmente de acordo com a ETA-11/0030.
Deve ser dada especial atenção à execução da fresagem no elemento principal ou na viga secundária para limitar o deslizamento lateral da ligação.
A resistência Flat com o parafuso inclinado foi calculada considerando o número efetivo de parafusos dispostos paralelamente à fibra de acordo com a EN 1995-1-1.
Se forem utilizados conectores acoplados, deve ser prestada especial atenção ao alinhamento durante a colocação, para evitar tensões diferentes nos dois conectores.
O conector deve ser sempre totalmente fixo, utilizando todos os furos.
Não é permitida a fixação com pregagem parcial. Devem ser utilizados parafusos do mesmo comprimentos em cada metade do conector.
</t>
    </r>
    <r>
      <rPr>
        <sz val="10"/>
        <color theme="1"/>
        <rFont val="Verdana"/>
        <family val="2"/>
      </rPr>
      <t>No caso da fresagem no elemento principal ou na viga secundária, deve ter-se especial cuidado ao efetuar a fresagem, de modo a limitar o deslizamento lateral da ligação.
A dimensão e a verificação dos elementos de madeira devem ser feitas à parte. Todos os cálculos devem ser verificados e aprovados pelo designer responsável antes da execução. É dever do projetista responsável verificar em cada utilização a conformidade dos dados com as normas em vigor e com o projeto. A responsabilidade final pela escolha do produto adequado para uma aplicação específica cabe ao projetista.</t>
    </r>
  </si>
  <si>
    <t>Type of timber</t>
  </si>
  <si>
    <t>Timber strength class</t>
  </si>
  <si>
    <t>For screws on column, pre-drilling is mandatory.</t>
  </si>
  <si>
    <t>Per le viti su pilastro è obbligatorio il preforo.</t>
  </si>
  <si>
    <t>Résistance caractéristique au cisaillement roulant (perpendiculaire à la fibre)</t>
  </si>
  <si>
    <t>Nombre de modules de base selon ETA-19/0831</t>
  </si>
  <si>
    <t>Le dimensionnement et la capacité des éléments en bois seront effectués séparément. En particulier, pour des charges perpendiculaires à l’axe des poutres, il est conseillé d’effectuer un contrôle séparé sur les deux éléments en bois.</t>
  </si>
  <si>
    <t>Capacité de charge caractéristique par plan de cisaillement pour la fixation de l'élément principal</t>
  </si>
  <si>
    <t>Capacité de charge caractéristique par plan de cisaillement pour la fixation de l'élément secondaire</t>
  </si>
  <si>
    <t>Résistance caractéristique à la contrainte portante</t>
  </si>
  <si>
    <t>Les indications fournies dans cet outil de calcul sont à titre indicatif. Cependant, toute responsabilité sur le projet (calcul) de connexion retombe sur le concepteur</t>
  </si>
  <si>
    <t xml:space="preserve"> VÉRIFIÉ</t>
  </si>
  <si>
    <t>LBS EVO</t>
  </si>
  <si>
    <t>LBSEVO550</t>
  </si>
  <si>
    <t>LBSEVO560</t>
  </si>
  <si>
    <t>LBSEVO570</t>
  </si>
  <si>
    <t>LBSEVO780</t>
  </si>
  <si>
    <t>LBSEVO7100</t>
  </si>
  <si>
    <t>LBS EVO Ø 5 x 50</t>
  </si>
  <si>
    <t>LBS EVO Ø 5 x 60</t>
  </si>
  <si>
    <t>LBS EVO Ø 5 x 70</t>
  </si>
  <si>
    <t>LBS EVO Ø 7 x 80</t>
  </si>
  <si>
    <t>LBS EVO Ø 7 x 100</t>
  </si>
  <si>
    <t>!!!</t>
  </si>
  <si>
    <t>Selezionare le sollecitazioni da inserire considerare nella verifica combinata.</t>
  </si>
  <si>
    <t>2. Combinazioni</t>
  </si>
  <si>
    <t>2. Combinations</t>
  </si>
  <si>
    <t>2. Kombinationen</t>
  </si>
  <si>
    <t>2. Combinaisons</t>
  </si>
  <si>
    <t>2. Combinaciones</t>
  </si>
  <si>
    <t>2. Combinações</t>
  </si>
  <si>
    <t xml:space="preserve">3. Sollecitazioni di progetto </t>
  </si>
  <si>
    <t xml:space="preserve">3. Design shear strength </t>
  </si>
  <si>
    <t xml:space="preserve">3. Bemessungsspannung </t>
  </si>
  <si>
    <t xml:space="preserve">3. Sollicitations du projet </t>
  </si>
  <si>
    <t xml:space="preserve">3. Solicitaciones de proyecto </t>
  </si>
  <si>
    <t xml:space="preserve">3. Tensão de projeto </t>
  </si>
  <si>
    <t>4. Elementi in legno</t>
  </si>
  <si>
    <t>4. Timber element</t>
  </si>
  <si>
    <t>4. Holzelemente</t>
  </si>
  <si>
    <t>4. Éléments en bois</t>
  </si>
  <si>
    <t>4. Elementos de madera</t>
  </si>
  <si>
    <t>4. Elementos de madeira</t>
  </si>
  <si>
    <t>4.1 Elemento Primario</t>
  </si>
  <si>
    <t>4.1 Main element</t>
  </si>
  <si>
    <t>4.1 Hauptelement</t>
  </si>
  <si>
    <t>4.1 Élément principal</t>
  </si>
  <si>
    <t>4.1 Elemento principal</t>
  </si>
  <si>
    <t>4.2 Elemento secondario</t>
  </si>
  <si>
    <t>4.2 Secondary element</t>
  </si>
  <si>
    <t>4.2 Nebenelement</t>
  </si>
  <si>
    <t>4.2 Élément secondaire</t>
  </si>
  <si>
    <t>4.2 Elemento secundario</t>
  </si>
  <si>
    <t>4.2 Elemento secundária</t>
  </si>
  <si>
    <t>5. Scelta del connettore e delle viti</t>
  </si>
  <si>
    <t>5. Choice of connector and screws</t>
  </si>
  <si>
    <t>5. Auswahl des Verbinders und der Schrauben</t>
  </si>
  <si>
    <t>5. Choix du connecteur et des vis</t>
  </si>
  <si>
    <t>5. Elección del conector y de los tornillos</t>
  </si>
  <si>
    <t>5. Escolha do conector e dos parafusos</t>
  </si>
  <si>
    <t>Dimensioni minime</t>
  </si>
  <si>
    <t>elemento principale</t>
  </si>
  <si>
    <t>trave</t>
  </si>
  <si>
    <t>pilastro</t>
  </si>
  <si>
    <t>elemento secondario</t>
  </si>
  <si>
    <t>con preforo</t>
  </si>
  <si>
    <t>senza preforo</t>
  </si>
  <si>
    <t>h</t>
  </si>
  <si>
    <t>p</t>
  </si>
  <si>
    <r>
      <t>F</t>
    </r>
    <r>
      <rPr>
        <b/>
        <vertAlign val="subscript"/>
        <sz val="11"/>
        <color theme="1"/>
        <rFont val="Verdana"/>
        <family val="2"/>
      </rPr>
      <t>v,Ed</t>
    </r>
  </si>
  <si>
    <r>
      <t>F</t>
    </r>
    <r>
      <rPr>
        <b/>
        <vertAlign val="subscript"/>
        <sz val="11"/>
        <color theme="1"/>
        <rFont val="Verdana"/>
        <family val="2"/>
      </rPr>
      <t>up,Ed</t>
    </r>
  </si>
  <si>
    <r>
      <t>F</t>
    </r>
    <r>
      <rPr>
        <b/>
        <vertAlign val="subscript"/>
        <sz val="11"/>
        <color theme="1"/>
        <rFont val="Verdana"/>
        <family val="2"/>
      </rPr>
      <t>ax,Ed</t>
    </r>
  </si>
  <si>
    <r>
      <t>F</t>
    </r>
    <r>
      <rPr>
        <b/>
        <vertAlign val="subscript"/>
        <sz val="11"/>
        <color theme="1"/>
        <rFont val="Verdana"/>
        <family val="2"/>
      </rPr>
      <t>lat,Ed</t>
    </r>
  </si>
  <si>
    <r>
      <t>F</t>
    </r>
    <r>
      <rPr>
        <vertAlign val="subscript"/>
        <sz val="11"/>
        <color theme="1"/>
        <rFont val="Verdana"/>
        <family val="2"/>
      </rPr>
      <t>v,Ed</t>
    </r>
  </si>
  <si>
    <r>
      <t>F</t>
    </r>
    <r>
      <rPr>
        <vertAlign val="subscript"/>
        <sz val="11"/>
        <color theme="1"/>
        <rFont val="Verdana"/>
        <family val="2"/>
      </rPr>
      <t>up,Ed</t>
    </r>
  </si>
  <si>
    <r>
      <t>F</t>
    </r>
    <r>
      <rPr>
        <vertAlign val="subscript"/>
        <sz val="11"/>
        <color theme="1"/>
        <rFont val="Verdana"/>
        <family val="2"/>
      </rPr>
      <t>ax,Ed</t>
    </r>
  </si>
  <si>
    <r>
      <t>F</t>
    </r>
    <r>
      <rPr>
        <vertAlign val="subscript"/>
        <sz val="11"/>
        <color theme="1"/>
        <rFont val="Verdana"/>
        <family val="2"/>
      </rPr>
      <t>lat,Ed</t>
    </r>
  </si>
  <si>
    <r>
      <t>F</t>
    </r>
    <r>
      <rPr>
        <vertAlign val="subscript"/>
        <sz val="11"/>
        <color theme="1"/>
        <rFont val="Verdana"/>
        <family val="2"/>
      </rPr>
      <t>45,Rd</t>
    </r>
    <r>
      <rPr>
        <sz val="11"/>
        <color theme="1"/>
        <rFont val="Verdana"/>
        <family val="2"/>
      </rPr>
      <t xml:space="preserve">
(kN)</t>
    </r>
  </si>
  <si>
    <t>LBS Ø 7 x 80</t>
  </si>
  <si>
    <t>2 x LOCKSTOP100</t>
  </si>
  <si>
    <t>Fresata per alloggio connettore  Sf=20 mm</t>
  </si>
  <si>
    <t>Milling for connector housing Sf=20 mm</t>
  </si>
  <si>
    <t>Fräsen für Steckergehäuse Sf=20 mm</t>
  </si>
  <si>
    <t>Fraisage pour le boîtier du connecteur Sf=20 mm</t>
  </si>
  <si>
    <t>Fresado para carcasa de conector Sf=20 mm</t>
  </si>
  <si>
    <t>Fresagem para caixa de conectores Sf=20 mm</t>
  </si>
  <si>
    <t>n. connettori</t>
  </si>
  <si>
    <t>configurazione</t>
  </si>
  <si>
    <t>evo</t>
  </si>
  <si>
    <t>LBS Ø 5 x 60</t>
  </si>
  <si>
    <t>LOCK_CALCULATOR v. 1.03</t>
  </si>
  <si>
    <t>Language</t>
  </si>
  <si>
    <t>1. SUBJECT</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</si>
  <si>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</si>
  <si>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</si>
  <si>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</si>
  <si>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</si>
  <si>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</si>
  <si>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</si>
  <si>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</si>
  <si>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</si>
  <si>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</si>
  <si>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</si>
  <si>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</si>
  <si>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</si>
  <si>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</si>
  <si>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</si>
  <si>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</si>
  <si>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</si>
  <si>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</si>
  <si>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English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</si>
  <si>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</si>
  <si>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</si>
  <si>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12. PRIVACY</t>
  </si>
  <si>
    <t>Refer to the privacy policy available at the link:</t>
  </si>
  <si>
    <t>https://www.rothoblaas.com/privacy-policy</t>
  </si>
  <si>
    <t>ACCEPT</t>
  </si>
  <si>
    <t>LOCK_CALCULATOR
v1.03</t>
  </si>
  <si>
    <t>LOCK CALCULATOR</t>
  </si>
  <si>
    <t>GENERAL TERMS AND CONDITIONS OF THE LICENSE AGREEMENT FOR THE USE OF THE SPREADSHEET "LOCK_CALCULATOR_v1.03"</t>
  </si>
  <si>
    <t>RB carried out the checks according to the Limit State method in accordance with EN 1995-1-1 Eurocode 5 - Design of timber structures and EN 1999-1-1 Eurocode 9 - Design of aluminium structures. For the mechanical resistance values and the geometry of the connectors, reference was made to ETA-19/0831.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</si>
</sst>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50" x14ac:knownFonts="1">
    <font>
      <sz val="10"/>
      <color theme="1"/>
      <name val="Verdana"/>
      <family val="2"/>
    </font>
    <font>
      <vertAlign val="subscript"/>
      <sz val="10"/>
      <color theme="1"/>
      <name val="Verdana"/>
      <family val="2"/>
    </font>
    <font>
      <vertAlign val="superscript"/>
      <sz val="10"/>
      <color theme="1"/>
      <name val="Verdana"/>
      <family val="2"/>
    </font>
    <font>
      <sz val="11"/>
      <color theme="1"/>
      <name val="Calibri"/>
      <family val="2"/>
      <scheme val="minor"/>
    </font>
    <font>
      <sz val="11"/>
      <color theme="1"/>
      <name val="Verdana"/>
      <family val="2"/>
    </font>
    <font>
      <b/>
      <sz val="12"/>
      <color theme="1"/>
      <name val="Verdana"/>
      <family val="2"/>
    </font>
    <font>
      <vertAlign val="subscript"/>
      <sz val="11"/>
      <color theme="1"/>
      <name val="Verdana"/>
      <family val="2"/>
    </font>
    <font>
      <sz val="20"/>
      <color theme="1"/>
      <name val="Verdana"/>
      <family val="2"/>
    </font>
    <font>
      <vertAlign val="superscript"/>
      <sz val="11"/>
      <color theme="1"/>
      <name val="Verdana"/>
      <family val="2"/>
    </font>
    <font>
      <b/>
      <sz val="10"/>
      <color theme="1"/>
      <name val="Verdana"/>
      <family val="2"/>
    </font>
    <font>
      <b/>
      <vertAlign val="subscript"/>
      <sz val="10"/>
      <color theme="1"/>
      <name val="Verdana"/>
      <family val="2"/>
    </font>
    <font>
      <b/>
      <u/>
      <sz val="12"/>
      <color theme="1"/>
      <name val="Verdana"/>
      <family val="2"/>
    </font>
    <font>
      <sz val="12"/>
      <color theme="1"/>
      <name val="Verdana"/>
      <family val="2"/>
    </font>
    <font>
      <b/>
      <sz val="11"/>
      <color theme="4"/>
      <name val="Verdana"/>
      <family val="2"/>
    </font>
    <font>
      <sz val="8"/>
      <name val="Verdana"/>
      <family val="2"/>
    </font>
    <font>
      <sz val="11"/>
      <name val="Verdana"/>
      <family val="2"/>
    </font>
    <font>
      <sz val="10"/>
      <name val="Verdana"/>
      <family val="2"/>
    </font>
    <font>
      <sz val="10"/>
      <color theme="1"/>
      <name val="Verdana"/>
      <family val="2"/>
    </font>
    <font>
      <b/>
      <i/>
      <sz val="11"/>
      <name val="Verdana"/>
      <family val="2"/>
    </font>
    <font>
      <strike/>
      <sz val="10"/>
      <color theme="1"/>
      <name val="Verdana"/>
      <family val="2"/>
    </font>
    <font>
      <b/>
      <sz val="10"/>
      <color rgb="FF0070C0"/>
      <name val="Verdana"/>
      <family val="2"/>
    </font>
    <font>
      <b/>
      <sz val="11"/>
      <color theme="1"/>
      <name val="Verdana"/>
      <family val="2"/>
    </font>
    <font>
      <b/>
      <vertAlign val="subscript"/>
      <sz val="11"/>
      <color theme="1"/>
      <name val="Verdana"/>
      <family val="2"/>
    </font>
    <font>
      <b/>
      <sz val="13"/>
      <color theme="1"/>
      <name val="Verdana"/>
      <family val="2"/>
    </font>
    <font>
      <b/>
      <sz val="11"/>
      <name val="Verdana"/>
      <family val="2"/>
    </font>
    <font>
      <sz val="9"/>
      <color theme="0"/>
      <name val="Verdana"/>
      <family val="2"/>
    </font>
    <font>
      <b/>
      <sz val="14"/>
      <name val="Verdana"/>
      <family val="2"/>
    </font>
    <font>
      <b/>
      <sz val="11"/>
      <color theme="0"/>
      <name val="Verdana"/>
      <family val="2"/>
    </font>
    <font>
      <sz val="11"/>
      <color theme="0"/>
      <name val="Verdana"/>
      <family val="2"/>
    </font>
    <font>
      <sz val="11"/>
      <color rgb="FFFF0000"/>
      <name val="Verdana"/>
      <family val="2"/>
    </font>
    <font>
      <b/>
      <vertAlign val="subscript"/>
      <sz val="9"/>
      <name val="Verdana"/>
      <family val="2"/>
    </font>
    <font>
      <b/>
      <vertAlign val="superscript"/>
      <sz val="10"/>
      <name val="Verdana"/>
      <family val="2"/>
    </font>
    <font>
      <b/>
      <sz val="13"/>
      <name val="Verdana"/>
      <family val="2"/>
    </font>
    <font>
      <sz val="11"/>
      <color rgb="FFFFFF00"/>
      <name val="Verdana"/>
      <family val="2"/>
    </font>
    <font>
      <b/>
      <sz val="11"/>
      <color rgb="FFFFFF00"/>
      <name val="Verdana"/>
      <family val="2"/>
    </font>
    <font>
      <sz val="11"/>
      <color theme="4"/>
      <name val="Verdana"/>
      <family val="2"/>
    </font>
    <font>
      <vertAlign val="superscript"/>
      <sz val="10"/>
      <name val="Verdana"/>
      <family val="2"/>
    </font>
    <font>
      <i/>
      <sz val="11"/>
      <color theme="0"/>
      <name val="Verdana"/>
      <family val="2"/>
    </font>
    <font>
      <i/>
      <sz val="11"/>
      <color theme="1"/>
      <name val="Verdana"/>
      <family val="2"/>
    </font>
    <font>
      <i/>
      <sz val="11"/>
      <color theme="0" tint="-0.499984740745262"/>
      <name val="Verdana"/>
      <family val="2"/>
    </font>
    <font>
      <b/>
      <sz val="12"/>
      <color theme="4"/>
      <name val="Verdana"/>
      <family val="2"/>
    </font>
    <font>
      <sz val="10"/>
      <color rgb="FF000000"/>
      <name val="Verdana"/>
      <family val="2"/>
    </font>
    <font>
      <sz val="10"/>
      <color rgb="FFFF0000"/>
      <name val="Verdana"/>
      <family val="2"/>
    </font>
    <font>
      <sz val="13"/>
      <color theme="1"/>
      <name val="Verdana"/>
      <family val="2"/>
    </font>
    <font>
      <sz val="10"/>
      <color theme="0"/>
      <name val="Verdana"/>
      <family val="2"/>
    </font>
    <font>
      <u/>
      <sz val="10"/>
      <color theme="10"/>
      <name val="Verdana"/>
      <family val="2"/>
    </font>
    <font>
      <b/>
      <sz val="10"/>
      <name val="Verdana"/>
      <family val="2"/>
    </font>
    <font>
      <b/>
      <sz val="13"/>
      <color theme="0"/>
      <name val="Verdana"/>
      <family val="2"/>
    </font>
    <font>
      <b/>
      <sz val="14"/>
      <color theme="0"/>
      <name val="Verdana"/>
      <family val="2"/>
    </font>
    <font>
      <b/>
      <u/>
      <sz val="14"/>
      <color theme="0"/>
      <name val="Verdana"/>
      <family val="2"/>
    </font>
  </fonts>
  <fills count="2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AEAEA"/>
        <bgColor indexed="64"/>
      </patternFill>
    </fill>
    <fill>
      <patternFill patternType="solid">
        <fgColor rgb="FF92D050"/>
        <bgColor indexed="64"/>
      </patternFill>
    </fill>
    <fill>
      <patternFill patternType="solid">
        <fgColor rgb="FF00B050"/>
        <bgColor indexed="64"/>
      </patternFill>
    </fill>
  </fills>
  <borders count="85">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top/>
      <bottom/>
      <diagonal/>
    </border>
    <border>
      <left/>
      <right/>
      <top style="medium">
        <color theme="4"/>
      </top>
      <bottom/>
      <diagonal/>
    </border>
    <border>
      <left/>
      <right/>
      <top/>
      <bottom style="medium">
        <color theme="4"/>
      </bottom>
      <diagonal/>
    </border>
    <border>
      <left style="thin">
        <color theme="4"/>
      </left>
      <right style="thin">
        <color theme="4"/>
      </right>
      <top style="thin">
        <color theme="4"/>
      </top>
      <bottom style="thin">
        <color theme="4"/>
      </bottom>
      <diagonal/>
    </border>
    <border>
      <left/>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hair">
        <color auto="1"/>
      </top>
      <bottom/>
      <diagonal/>
    </border>
    <border>
      <left style="thin">
        <color theme="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theme="4"/>
      </left>
      <right style="medium">
        <color indexed="64"/>
      </right>
      <top style="thin">
        <color theme="4"/>
      </top>
      <bottom style="thin">
        <color theme="4"/>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theme="4"/>
      </left>
      <right/>
      <top style="medium">
        <color theme="4"/>
      </top>
      <bottom style="hair">
        <color theme="4"/>
      </bottom>
      <diagonal/>
    </border>
    <border>
      <left/>
      <right/>
      <top style="medium">
        <color theme="4"/>
      </top>
      <bottom style="hair">
        <color theme="4"/>
      </bottom>
      <diagonal/>
    </border>
    <border>
      <left/>
      <right style="medium">
        <color theme="4"/>
      </right>
      <top style="medium">
        <color theme="4"/>
      </top>
      <bottom style="hair">
        <color theme="4"/>
      </bottom>
      <diagonal/>
    </border>
    <border>
      <left style="medium">
        <color theme="4"/>
      </left>
      <right/>
      <top style="hair">
        <color theme="4"/>
      </top>
      <bottom style="hair">
        <color theme="4"/>
      </bottom>
      <diagonal/>
    </border>
    <border>
      <left/>
      <right/>
      <top style="hair">
        <color theme="4"/>
      </top>
      <bottom style="hair">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hair">
        <color theme="4"/>
      </left>
      <right/>
      <top style="medium">
        <color theme="4"/>
      </top>
      <bottom style="hair">
        <color theme="4"/>
      </bottom>
      <diagonal/>
    </border>
    <border>
      <left style="hair">
        <color theme="4"/>
      </left>
      <right/>
      <top style="hair">
        <color theme="4"/>
      </top>
      <bottom style="hair">
        <color theme="4"/>
      </bottom>
      <diagonal/>
    </border>
    <border>
      <left style="hair">
        <color theme="4"/>
      </left>
      <right/>
      <top/>
      <bottom style="hair">
        <color theme="4"/>
      </bottom>
      <diagonal/>
    </border>
    <border>
      <left style="hair">
        <color theme="4"/>
      </left>
      <right/>
      <top/>
      <bottom/>
      <diagonal/>
    </border>
    <border>
      <left style="hair">
        <color theme="4"/>
      </left>
      <right/>
      <top/>
      <bottom style="medium">
        <color theme="4"/>
      </bottom>
      <diagonal/>
    </border>
    <border>
      <left/>
      <right style="thin">
        <color indexed="64"/>
      </right>
      <top style="thin">
        <color indexed="64"/>
      </top>
      <bottom/>
      <diagonal/>
    </border>
  </borders>
  <cellStyleXfs count="4">
    <xf numFmtId="0" fontId="0" fillId="0" borderId="0"/>
    <xf numFmtId="0" fontId="3" fillId="0" borderId="0"/>
    <xf numFmtId="9" fontId="17" fillId="0" borderId="0" applyFont="0" applyFill="0" applyBorder="0" applyAlignment="0" applyProtection="0"/>
    <xf numFmtId="0" fontId="45" fillId="0" borderId="0" applyNumberFormat="0" applyFill="0" applyBorder="0" applyAlignment="0" applyProtection="0"/>
  </cellStyleXfs>
  <cellXfs count="454">
    <xf numFmtId="0" fontId="0" fillId="0" borderId="0" xfId="0"/>
    <xf numFmtId="0" fontId="0" fillId="0" borderId="7" xfId="0"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3" borderId="5"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12" xfId="0" applyFill="1" applyBorder="1" applyAlignment="1">
      <alignment horizontal="center" vertical="center"/>
    </xf>
    <xf numFmtId="0" fontId="0" fillId="3" borderId="15" xfId="0" applyFill="1" applyBorder="1" applyAlignment="1">
      <alignment horizontal="center" vertical="center"/>
    </xf>
    <xf numFmtId="0" fontId="0" fillId="3" borderId="16" xfId="0" applyFill="1" applyBorder="1" applyAlignment="1">
      <alignment horizontal="center" vertical="center"/>
    </xf>
    <xf numFmtId="0" fontId="0" fillId="3" borderId="19" xfId="0" applyFill="1" applyBorder="1" applyAlignment="1">
      <alignment horizontal="center" vertical="center"/>
    </xf>
    <xf numFmtId="0" fontId="0" fillId="3" borderId="2" xfId="0" applyFill="1" applyBorder="1" applyAlignment="1">
      <alignment horizontal="center" vertical="center"/>
    </xf>
    <xf numFmtId="0" fontId="0" fillId="3" borderId="20" xfId="0" applyFill="1" applyBorder="1" applyAlignment="1">
      <alignment horizontal="center" vertical="center"/>
    </xf>
    <xf numFmtId="0" fontId="0" fillId="3" borderId="21" xfId="0"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4" xfId="0" applyFill="1" applyBorder="1" applyAlignment="1">
      <alignment horizontal="center" vertical="center"/>
    </xf>
    <xf numFmtId="0" fontId="0" fillId="3" borderId="25" xfId="0" applyFill="1" applyBorder="1" applyAlignment="1">
      <alignment horizontal="center" vertical="center"/>
    </xf>
    <xf numFmtId="0" fontId="0" fillId="3" borderId="11" xfId="0" applyFill="1" applyBorder="1" applyAlignment="1">
      <alignment horizontal="center" vertical="center"/>
    </xf>
    <xf numFmtId="0" fontId="0" fillId="3" borderId="27" xfId="0" applyFill="1" applyBorder="1" applyAlignment="1">
      <alignment horizontal="center" vertical="center"/>
    </xf>
    <xf numFmtId="0" fontId="0" fillId="3" borderId="12" xfId="0" applyFill="1" applyBorder="1" applyAlignment="1">
      <alignment horizontal="left" vertical="center"/>
    </xf>
    <xf numFmtId="0" fontId="0" fillId="3" borderId="5" xfId="0" applyFill="1" applyBorder="1" applyAlignment="1">
      <alignment horizontal="left" vertical="center"/>
    </xf>
    <xf numFmtId="0" fontId="0" fillId="3" borderId="9" xfId="0" applyFill="1" applyBorder="1" applyAlignment="1">
      <alignment horizontal="left" vertical="center"/>
    </xf>
    <xf numFmtId="0" fontId="0" fillId="3" borderId="2" xfId="0" applyFill="1" applyBorder="1" applyAlignment="1">
      <alignment horizontal="left" vertical="center"/>
    </xf>
    <xf numFmtId="0" fontId="0" fillId="3" borderId="11" xfId="0" applyFill="1" applyBorder="1" applyAlignment="1">
      <alignment horizontal="left" vertical="center"/>
    </xf>
    <xf numFmtId="0" fontId="4" fillId="4" borderId="9" xfId="0" applyFont="1" applyFill="1" applyBorder="1" applyAlignment="1">
      <alignment horizontal="center" vertical="center" wrapText="1"/>
    </xf>
    <xf numFmtId="2" fontId="0" fillId="0" borderId="0" xfId="0" applyNumberFormat="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9"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1" fillId="0" borderId="0" xfId="0" applyFont="1" applyAlignment="1">
      <alignment vertical="center" wrapText="1"/>
    </xf>
    <xf numFmtId="0" fontId="0" fillId="4" borderId="9" xfId="0" applyFill="1" applyBorder="1" applyAlignment="1">
      <alignment horizontal="center" vertical="center"/>
    </xf>
    <xf numFmtId="2" fontId="0" fillId="0" borderId="0" xfId="0" applyNumberFormat="1" applyAlignment="1">
      <alignment horizontal="center"/>
    </xf>
    <xf numFmtId="0" fontId="13" fillId="0" borderId="12" xfId="0" applyFont="1" applyBorder="1" applyAlignment="1">
      <alignment horizontal="center" vertical="center"/>
    </xf>
    <xf numFmtId="0" fontId="4" fillId="0" borderId="12" xfId="0" applyFont="1" applyBorder="1" applyAlignment="1">
      <alignment horizontal="center" vertical="center"/>
    </xf>
    <xf numFmtId="2" fontId="4"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1" fontId="4" fillId="0" borderId="12" xfId="0" applyNumberFormat="1" applyFont="1" applyBorder="1" applyAlignment="1">
      <alignment horizontal="center" vertical="center"/>
    </xf>
    <xf numFmtId="2" fontId="9" fillId="0" borderId="12" xfId="0" applyNumberFormat="1" applyFont="1" applyBorder="1" applyAlignment="1">
      <alignment horizontal="center" vertical="center"/>
    </xf>
    <xf numFmtId="0" fontId="5" fillId="6"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7" fillId="0" borderId="0" xfId="0" applyFont="1" applyAlignment="1">
      <alignment horizontal="center" vertical="center" wrapText="1"/>
    </xf>
    <xf numFmtId="0" fontId="4" fillId="3" borderId="0" xfId="0" applyFont="1" applyFill="1" applyAlignment="1">
      <alignment horizontal="center" vertical="center" wrapText="1"/>
    </xf>
    <xf numFmtId="0" fontId="0" fillId="3" borderId="34" xfId="0" applyFill="1" applyBorder="1" applyAlignment="1">
      <alignment horizontal="center" vertical="center"/>
    </xf>
    <xf numFmtId="0" fontId="0" fillId="3" borderId="26" xfId="0" applyFill="1" applyBorder="1" applyAlignment="1">
      <alignment horizontal="center" vertical="center"/>
    </xf>
    <xf numFmtId="0" fontId="0" fillId="3" borderId="28" xfId="0" applyFill="1" applyBorder="1" applyAlignment="1">
      <alignment horizontal="center" vertical="center"/>
    </xf>
    <xf numFmtId="0" fontId="4" fillId="3" borderId="24"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31" xfId="0" applyFont="1" applyFill="1" applyBorder="1" applyAlignment="1">
      <alignment horizontal="center" vertical="center" wrapText="1"/>
    </xf>
    <xf numFmtId="0" fontId="0" fillId="0" borderId="5" xfId="0" applyBorder="1"/>
    <xf numFmtId="1" fontId="0" fillId="0" borderId="0" xfId="0" applyNumberFormat="1"/>
    <xf numFmtId="0" fontId="0" fillId="0" borderId="0" xfId="0" applyAlignment="1">
      <alignment horizontal="right"/>
    </xf>
    <xf numFmtId="0" fontId="0" fillId="0" borderId="0" xfId="0" applyAlignment="1">
      <alignment horizontal="left"/>
    </xf>
    <xf numFmtId="164" fontId="0" fillId="0" borderId="0" xfId="0" applyNumberFormat="1"/>
    <xf numFmtId="2"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0" fillId="0" borderId="5" xfId="0" applyBorder="1" applyAlignment="1">
      <alignment horizontal="center" vertical="center"/>
    </xf>
    <xf numFmtId="164" fontId="16" fillId="0" borderId="2" xfId="0" applyNumberFormat="1" applyFont="1" applyBorder="1" applyAlignment="1">
      <alignment horizontal="center" vertical="center"/>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0" xfId="0" applyFill="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1" fillId="0" borderId="0" xfId="0" applyFont="1" applyAlignment="1">
      <alignment horizontal="left" vertical="center" wrapText="1"/>
    </xf>
    <xf numFmtId="0" fontId="0" fillId="0" borderId="14" xfId="0" applyBorder="1" applyAlignment="1">
      <alignment horizontal="center" vertical="center"/>
    </xf>
    <xf numFmtId="164" fontId="0" fillId="10" borderId="5" xfId="0" applyNumberFormat="1" applyFill="1" applyBorder="1" applyAlignment="1">
      <alignment horizontal="center" vertical="center"/>
    </xf>
    <xf numFmtId="0" fontId="0" fillId="10" borderId="5" xfId="0" applyFill="1" applyBorder="1" applyAlignment="1">
      <alignment horizontal="center" vertical="center"/>
    </xf>
    <xf numFmtId="164" fontId="0" fillId="10" borderId="9" xfId="0" applyNumberFormat="1" applyFill="1" applyBorder="1" applyAlignment="1">
      <alignment horizontal="center" vertical="center"/>
    </xf>
    <xf numFmtId="0" fontId="0" fillId="10" borderId="7" xfId="0" applyFill="1" applyBorder="1" applyAlignment="1">
      <alignment horizontal="center" vertical="center"/>
    </xf>
    <xf numFmtId="0" fontId="0" fillId="10" borderId="6"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xf>
    <xf numFmtId="0" fontId="0" fillId="7" borderId="2" xfId="0" applyFill="1" applyBorder="1" applyAlignment="1">
      <alignment horizontal="center" vertical="center"/>
    </xf>
    <xf numFmtId="0" fontId="0" fillId="7" borderId="9" xfId="0"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13" fillId="0" borderId="0" xfId="0" applyFont="1" applyAlignment="1">
      <alignment horizontal="right" vertical="center"/>
    </xf>
    <xf numFmtId="2" fontId="4" fillId="0" borderId="0" xfId="0" applyNumberFormat="1" applyFont="1" applyAlignment="1">
      <alignment horizontal="left" vertical="center"/>
    </xf>
    <xf numFmtId="0" fontId="5" fillId="4" borderId="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0" fillId="4" borderId="22" xfId="0" applyFill="1" applyBorder="1" applyAlignment="1">
      <alignment horizontal="center" vertical="center"/>
    </xf>
    <xf numFmtId="0" fontId="0" fillId="0" borderId="17" xfId="0" applyBorder="1" applyAlignment="1">
      <alignment horizontal="center" vertical="center"/>
    </xf>
    <xf numFmtId="0" fontId="0" fillId="10" borderId="17" xfId="0" applyFill="1" applyBorder="1" applyAlignment="1">
      <alignment horizontal="center" vertical="center"/>
    </xf>
    <xf numFmtId="0" fontId="0" fillId="10" borderId="22" xfId="0" applyFill="1" applyBorder="1" applyAlignment="1">
      <alignment horizontal="center" vertical="center"/>
    </xf>
    <xf numFmtId="0" fontId="4" fillId="7" borderId="9" xfId="0" applyFont="1" applyFill="1" applyBorder="1" applyAlignment="1">
      <alignment horizontal="center" vertical="center" wrapText="1"/>
    </xf>
    <xf numFmtId="164" fontId="0" fillId="0" borderId="0" xfId="0" applyNumberFormat="1" applyAlignment="1">
      <alignment horizontal="center" vertical="center"/>
    </xf>
    <xf numFmtId="164" fontId="0" fillId="0" borderId="9" xfId="0" applyNumberFormat="1" applyBorder="1" applyAlignment="1">
      <alignment horizontal="center" vertical="center"/>
    </xf>
    <xf numFmtId="164" fontId="0" fillId="0" borderId="6" xfId="0" applyNumberFormat="1" applyBorder="1" applyAlignment="1">
      <alignment horizontal="center" vertical="center"/>
    </xf>
    <xf numFmtId="164" fontId="0" fillId="0" borderId="10" xfId="0" applyNumberFormat="1" applyBorder="1" applyAlignment="1">
      <alignment horizontal="center" vertical="center"/>
    </xf>
    <xf numFmtId="0" fontId="0" fillId="0" borderId="4" xfId="0" applyBorder="1" applyAlignment="1">
      <alignment horizontal="center" vertical="center"/>
    </xf>
    <xf numFmtId="164" fontId="0" fillId="0" borderId="12" xfId="0" applyNumberFormat="1" applyBorder="1" applyAlignment="1">
      <alignment horizontal="center" vertical="center"/>
    </xf>
    <xf numFmtId="164" fontId="0" fillId="0" borderId="34" xfId="0" applyNumberFormat="1" applyBorder="1" applyAlignment="1">
      <alignment horizontal="center" vertical="center"/>
    </xf>
    <xf numFmtId="0" fontId="0" fillId="0" borderId="47" xfId="0" applyBorder="1" applyAlignment="1">
      <alignment horizontal="center" vertical="center"/>
    </xf>
    <xf numFmtId="1" fontId="0" fillId="0" borderId="48" xfId="0" applyNumberFormat="1" applyBorder="1" applyAlignment="1">
      <alignment horizontal="center" vertical="center"/>
    </xf>
    <xf numFmtId="1" fontId="0" fillId="0" borderId="49" xfId="0" applyNumberFormat="1" applyBorder="1" applyAlignment="1">
      <alignment horizontal="center" vertical="center"/>
    </xf>
    <xf numFmtId="0" fontId="4" fillId="11" borderId="9" xfId="0" applyFont="1" applyFill="1" applyBorder="1" applyAlignment="1">
      <alignment horizontal="center" vertical="center" wrapText="1"/>
    </xf>
    <xf numFmtId="0" fontId="0" fillId="0" borderId="15" xfId="0" applyBorder="1" applyAlignment="1">
      <alignment horizontal="center" vertical="center"/>
    </xf>
    <xf numFmtId="0" fontId="0" fillId="4" borderId="42" xfId="0" applyFill="1" applyBorder="1" applyAlignment="1">
      <alignment horizontal="center" vertical="center"/>
    </xf>
    <xf numFmtId="0" fontId="0" fillId="10" borderId="42" xfId="0" applyFill="1" applyBorder="1" applyAlignment="1">
      <alignment horizontal="center" vertical="center"/>
    </xf>
    <xf numFmtId="0" fontId="5" fillId="6" borderId="20" xfId="0" applyFont="1" applyFill="1" applyBorder="1" applyAlignment="1">
      <alignment horizontal="center" vertical="center" wrapText="1"/>
    </xf>
    <xf numFmtId="0" fontId="19" fillId="0" borderId="0" xfId="0" applyFont="1"/>
    <xf numFmtId="0" fontId="13" fillId="0" borderId="29" xfId="0" applyFont="1" applyBorder="1" applyAlignment="1">
      <alignment horizontal="center" vertical="center"/>
    </xf>
    <xf numFmtId="0" fontId="4" fillId="0" borderId="41" xfId="0" applyFont="1" applyBorder="1" applyAlignment="1">
      <alignment horizontal="center" vertical="center"/>
    </xf>
    <xf numFmtId="0" fontId="13" fillId="0" borderId="41" xfId="0" applyFont="1" applyBorder="1" applyAlignment="1">
      <alignment horizontal="center" vertical="center"/>
    </xf>
    <xf numFmtId="2" fontId="4" fillId="0" borderId="41" xfId="0" applyNumberFormat="1" applyFont="1" applyBorder="1" applyAlignment="1">
      <alignment horizontal="center" vertical="center"/>
    </xf>
    <xf numFmtId="164" fontId="4" fillId="0" borderId="41" xfId="0" applyNumberFormat="1" applyFont="1" applyBorder="1" applyAlignment="1">
      <alignment horizontal="center" vertical="center"/>
    </xf>
    <xf numFmtId="1" fontId="4" fillId="0" borderId="41" xfId="0" applyNumberFormat="1" applyFont="1" applyBorder="1" applyAlignment="1">
      <alignment horizontal="center" vertical="center"/>
    </xf>
    <xf numFmtId="2" fontId="9" fillId="0" borderId="42" xfId="0" applyNumberFormat="1" applyFont="1" applyBorder="1" applyAlignment="1">
      <alignment horizontal="center" vertical="center"/>
    </xf>
    <xf numFmtId="0" fontId="0" fillId="0" borderId="41" xfId="0" applyBorder="1" applyAlignment="1">
      <alignment horizontal="center" vertical="center"/>
    </xf>
    <xf numFmtId="165" fontId="0" fillId="0" borderId="41" xfId="0" applyNumberFormat="1" applyBorder="1" applyAlignment="1">
      <alignment horizontal="center" vertical="center"/>
    </xf>
    <xf numFmtId="0" fontId="5" fillId="7" borderId="0" xfId="0" applyFont="1" applyFill="1" applyAlignment="1">
      <alignment horizontal="center" vertical="center" wrapText="1"/>
    </xf>
    <xf numFmtId="0" fontId="4" fillId="7" borderId="0" xfId="0" applyFont="1" applyFill="1" applyAlignment="1">
      <alignment horizontal="center" vertical="center" wrapText="1"/>
    </xf>
    <xf numFmtId="2" fontId="9" fillId="0" borderId="0" xfId="0" applyNumberFormat="1" applyFont="1" applyAlignment="1">
      <alignment horizontal="center" vertical="center"/>
    </xf>
    <xf numFmtId="0" fontId="0" fillId="0" borderId="0" xfId="0" applyAlignment="1">
      <alignment horizontal="right" vertical="center"/>
    </xf>
    <xf numFmtId="0" fontId="20" fillId="0" borderId="0" xfId="0" applyFont="1" applyAlignment="1">
      <alignment horizontal="center" vertical="center"/>
    </xf>
    <xf numFmtId="0" fontId="0" fillId="0" borderId="0" xfId="0" applyAlignment="1">
      <alignment horizontal="left" vertical="center"/>
    </xf>
    <xf numFmtId="0" fontId="4" fillId="12" borderId="9" xfId="0" applyFont="1" applyFill="1" applyBorder="1" applyAlignment="1">
      <alignment horizontal="center" vertical="center" wrapText="1"/>
    </xf>
    <xf numFmtId="0" fontId="5" fillId="0" borderId="0" xfId="0" applyFont="1" applyAlignment="1">
      <alignment horizontal="center" vertical="center" wrapText="1"/>
    </xf>
    <xf numFmtId="0" fontId="4" fillId="0" borderId="0" xfId="0" applyFont="1" applyAlignment="1">
      <alignment horizontal="center" vertical="center" wrapText="1"/>
    </xf>
    <xf numFmtId="2" fontId="4" fillId="0" borderId="0" xfId="0" applyNumberFormat="1" applyFont="1" applyAlignment="1">
      <alignment horizontal="center" vertical="center"/>
    </xf>
    <xf numFmtId="164" fontId="4" fillId="0" borderId="0" xfId="0" applyNumberFormat="1" applyFont="1" applyAlignment="1">
      <alignment horizontal="center" vertical="center"/>
    </xf>
    <xf numFmtId="1" fontId="4" fillId="0" borderId="0" xfId="0" applyNumberFormat="1" applyFont="1" applyAlignment="1">
      <alignment horizontal="center" vertical="center"/>
    </xf>
    <xf numFmtId="1" fontId="0" fillId="0" borderId="0" xfId="0" applyNumberFormat="1" applyAlignment="1">
      <alignment horizontal="center" vertical="center"/>
    </xf>
    <xf numFmtId="1" fontId="4" fillId="12" borderId="12" xfId="0" applyNumberFormat="1" applyFont="1" applyFill="1" applyBorder="1" applyAlignment="1">
      <alignment horizontal="center" vertical="center"/>
    </xf>
    <xf numFmtId="2" fontId="0" fillId="0" borderId="12" xfId="0" applyNumberFormat="1" applyBorder="1" applyAlignment="1">
      <alignment horizontal="center" vertical="center"/>
    </xf>
    <xf numFmtId="2" fontId="0" fillId="0" borderId="9" xfId="0" applyNumberFormat="1" applyBorder="1" applyAlignment="1">
      <alignment horizontal="center" vertical="center"/>
    </xf>
    <xf numFmtId="1" fontId="0" fillId="0" borderId="49" xfId="0" applyNumberFormat="1" applyBorder="1" applyAlignment="1">
      <alignment horizontal="center" vertical="center" wrapText="1"/>
    </xf>
    <xf numFmtId="2" fontId="0" fillId="0" borderId="34" xfId="0" applyNumberFormat="1" applyBorder="1" applyAlignment="1">
      <alignment horizontal="center" vertical="center"/>
    </xf>
    <xf numFmtId="2" fontId="0" fillId="0" borderId="6" xfId="0" applyNumberFormat="1" applyBorder="1" applyAlignment="1">
      <alignment horizontal="center" vertical="center"/>
    </xf>
    <xf numFmtId="2" fontId="0" fillId="0" borderId="10" xfId="0" applyNumberFormat="1" applyBorder="1" applyAlignment="1">
      <alignment horizontal="center" vertical="center"/>
    </xf>
    <xf numFmtId="1" fontId="0" fillId="0" borderId="12" xfId="0" applyNumberFormat="1" applyBorder="1" applyAlignment="1">
      <alignment horizontal="center" vertical="center"/>
    </xf>
    <xf numFmtId="1" fontId="0" fillId="0" borderId="5" xfId="0" applyNumberFormat="1" applyBorder="1" applyAlignment="1">
      <alignment horizontal="center" vertical="center"/>
    </xf>
    <xf numFmtId="1" fontId="0" fillId="0" borderId="9" xfId="0" applyNumberFormat="1" applyBorder="1" applyAlignment="1">
      <alignment horizontal="center" vertical="center"/>
    </xf>
    <xf numFmtId="1" fontId="0" fillId="13" borderId="48" xfId="0" applyNumberFormat="1" applyFill="1" applyBorder="1" applyAlignment="1">
      <alignment horizontal="center" vertical="center" wrapText="1"/>
    </xf>
    <xf numFmtId="0" fontId="4" fillId="7" borderId="50" xfId="0" applyFont="1" applyFill="1" applyBorder="1" applyAlignment="1">
      <alignment horizontal="center" vertical="center" wrapText="1"/>
    </xf>
    <xf numFmtId="2" fontId="0" fillId="0" borderId="0" xfId="0" applyNumberFormat="1"/>
    <xf numFmtId="0" fontId="0" fillId="0" borderId="46" xfId="0" applyBorder="1" applyAlignment="1">
      <alignment horizontal="center" vertical="center"/>
    </xf>
    <xf numFmtId="0" fontId="0" fillId="0" borderId="51" xfId="0" applyBorder="1" applyAlignment="1">
      <alignment horizontal="center"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164" fontId="0" fillId="0" borderId="39" xfId="0" applyNumberFormat="1" applyBorder="1" applyAlignment="1">
      <alignment horizontal="center" vertical="center"/>
    </xf>
    <xf numFmtId="164" fontId="0" fillId="0" borderId="52" xfId="0" applyNumberFormat="1" applyBorder="1" applyAlignment="1">
      <alignment horizontal="center" vertical="center"/>
    </xf>
    <xf numFmtId="164" fontId="0" fillId="0" borderId="41" xfId="0" applyNumberFormat="1" applyBorder="1" applyAlignment="1">
      <alignment horizontal="center" vertical="center"/>
    </xf>
    <xf numFmtId="164" fontId="0" fillId="0" borderId="42" xfId="0" applyNumberFormat="1" applyBorder="1" applyAlignment="1">
      <alignment horizontal="center" vertical="center"/>
    </xf>
    <xf numFmtId="0" fontId="0" fillId="0" borderId="53" xfId="0" applyBorder="1" applyAlignment="1">
      <alignment horizontal="center"/>
    </xf>
    <xf numFmtId="0" fontId="0" fillId="0" borderId="31" xfId="0" applyBorder="1" applyAlignment="1">
      <alignment horizontal="center"/>
    </xf>
    <xf numFmtId="0" fontId="0" fillId="0" borderId="44" xfId="0" applyBorder="1" applyAlignment="1">
      <alignment horizontal="center"/>
    </xf>
    <xf numFmtId="0" fontId="4" fillId="14" borderId="9" xfId="0" applyFont="1" applyFill="1" applyBorder="1" applyAlignment="1">
      <alignment horizontal="center" vertical="center" wrapText="1"/>
    </xf>
    <xf numFmtId="0" fontId="0" fillId="0" borderId="23"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9" fillId="4" borderId="0" xfId="0" applyFont="1" applyFill="1" applyAlignment="1">
      <alignment horizontal="center" vertical="center" wrapText="1"/>
    </xf>
    <xf numFmtId="0" fontId="0" fillId="8" borderId="0" xfId="0" applyFill="1"/>
    <xf numFmtId="0" fontId="4" fillId="8" borderId="12" xfId="0" applyFont="1" applyFill="1" applyBorder="1" applyAlignment="1">
      <alignment horizontal="center" vertical="center"/>
    </xf>
    <xf numFmtId="2" fontId="4" fillId="0" borderId="2" xfId="0" applyNumberFormat="1" applyFont="1" applyBorder="1" applyAlignment="1">
      <alignment horizontal="center" vertical="center"/>
    </xf>
    <xf numFmtId="0" fontId="0" fillId="9" borderId="0" xfId="0" applyFill="1"/>
    <xf numFmtId="0" fontId="5" fillId="0" borderId="0" xfId="0" applyFont="1" applyAlignment="1">
      <alignment vertical="center" wrapText="1"/>
    </xf>
    <xf numFmtId="1" fontId="4" fillId="0" borderId="0" xfId="0" applyNumberFormat="1" applyFont="1" applyAlignment="1">
      <alignment horizontal="left" vertical="center"/>
    </xf>
    <xf numFmtId="0" fontId="4" fillId="0" borderId="54" xfId="0" applyFont="1" applyBorder="1" applyAlignment="1">
      <alignment horizontal="left" vertical="center"/>
    </xf>
    <xf numFmtId="0" fontId="4" fillId="0" borderId="53" xfId="0" applyFont="1" applyBorder="1" applyAlignment="1">
      <alignment horizontal="left" vertical="center"/>
    </xf>
    <xf numFmtId="9" fontId="18" fillId="0" borderId="0" xfId="2" applyFont="1" applyBorder="1" applyAlignment="1">
      <alignment horizontal="right" vertical="center"/>
    </xf>
    <xf numFmtId="0" fontId="4" fillId="0" borderId="54" xfId="0" applyFont="1" applyBorder="1" applyAlignment="1">
      <alignment horizontal="center" vertical="center"/>
    </xf>
    <xf numFmtId="0" fontId="16" fillId="15" borderId="36" xfId="0" applyFont="1" applyFill="1" applyBorder="1" applyProtection="1">
      <protection hidden="1"/>
    </xf>
    <xf numFmtId="0" fontId="16" fillId="15" borderId="35" xfId="0" applyFont="1" applyFill="1" applyBorder="1" applyProtection="1">
      <protection hidden="1"/>
    </xf>
    <xf numFmtId="0" fontId="0" fillId="15" borderId="35" xfId="0" applyFill="1" applyBorder="1" applyProtection="1">
      <protection hidden="1"/>
    </xf>
    <xf numFmtId="0" fontId="16" fillId="15" borderId="54" xfId="0" applyFont="1" applyFill="1" applyBorder="1" applyProtection="1">
      <protection hidden="1"/>
    </xf>
    <xf numFmtId="0" fontId="0" fillId="7" borderId="0" xfId="0" applyFill="1"/>
    <xf numFmtId="0" fontId="16" fillId="15" borderId="0" xfId="0" applyFont="1" applyFill="1" applyProtection="1">
      <protection hidden="1"/>
    </xf>
    <xf numFmtId="0" fontId="0" fillId="15" borderId="0" xfId="0" applyFill="1" applyProtection="1">
      <protection hidden="1"/>
    </xf>
    <xf numFmtId="0" fontId="25" fillId="15" borderId="0" xfId="0" applyFont="1" applyFill="1" applyProtection="1">
      <protection hidden="1"/>
    </xf>
    <xf numFmtId="0" fontId="25" fillId="15" borderId="0" xfId="0" applyFont="1" applyFill="1" applyAlignment="1" applyProtection="1">
      <alignment horizontal="right" vertical="center"/>
      <protection hidden="1"/>
    </xf>
    <xf numFmtId="0" fontId="23" fillId="0" borderId="0" xfId="0" applyFont="1" applyAlignment="1">
      <alignment horizontal="left" vertical="center"/>
    </xf>
    <xf numFmtId="0" fontId="21" fillId="0" borderId="0" xfId="0" applyFont="1" applyAlignment="1">
      <alignment horizontal="left" vertical="center"/>
    </xf>
    <xf numFmtId="0" fontId="5" fillId="0" borderId="0" xfId="0" applyFont="1" applyAlignment="1">
      <alignment vertical="center"/>
    </xf>
    <xf numFmtId="0" fontId="4" fillId="0" borderId="0" xfId="0" applyFont="1" applyAlignment="1">
      <alignment vertical="center"/>
    </xf>
    <xf numFmtId="0" fontId="28" fillId="0" borderId="0" xfId="0" applyFont="1" applyAlignment="1">
      <alignment horizontal="left" vertical="center"/>
    </xf>
    <xf numFmtId="0" fontId="29" fillId="0" borderId="0" xfId="0" applyFont="1" applyAlignment="1">
      <alignment horizontal="left" vertical="center"/>
    </xf>
    <xf numFmtId="0" fontId="15" fillId="0" borderId="0" xfId="0" applyFont="1" applyAlignment="1">
      <alignment horizontal="right" vertical="center"/>
    </xf>
    <xf numFmtId="0" fontId="5" fillId="0" borderId="0" xfId="0" applyFont="1" applyAlignment="1">
      <alignment horizontal="left" vertical="center"/>
    </xf>
    <xf numFmtId="164" fontId="15" fillId="0" borderId="0" xfId="0" applyNumberFormat="1" applyFont="1" applyAlignment="1">
      <alignment horizontal="right" vertical="center"/>
    </xf>
    <xf numFmtId="0" fontId="21" fillId="0" borderId="0" xfId="0" applyFont="1" applyAlignment="1">
      <alignment horizontal="center" vertical="center"/>
    </xf>
    <xf numFmtId="0" fontId="24" fillId="0" borderId="0" xfId="0" applyFont="1" applyAlignment="1">
      <alignment horizontal="right" vertical="center"/>
    </xf>
    <xf numFmtId="164" fontId="24" fillId="0" borderId="0" xfId="0" applyNumberFormat="1" applyFont="1" applyAlignment="1">
      <alignment horizontal="right" vertical="center"/>
    </xf>
    <xf numFmtId="0" fontId="16" fillId="15" borderId="33" xfId="0" applyFont="1" applyFill="1" applyBorder="1" applyProtection="1">
      <protection hidden="1"/>
    </xf>
    <xf numFmtId="0" fontId="16" fillId="15" borderId="31" xfId="0" applyFont="1" applyFill="1" applyBorder="1" applyProtection="1">
      <protection hidden="1"/>
    </xf>
    <xf numFmtId="0" fontId="4" fillId="15" borderId="37" xfId="0" applyFont="1" applyFill="1" applyBorder="1" applyAlignment="1">
      <alignment horizontal="left" vertical="center"/>
    </xf>
    <xf numFmtId="0" fontId="4" fillId="15" borderId="53" xfId="0" applyFont="1" applyFill="1" applyBorder="1" applyAlignment="1">
      <alignment horizontal="left" vertical="center"/>
    </xf>
    <xf numFmtId="0" fontId="4" fillId="15" borderId="44" xfId="0" applyFont="1" applyFill="1" applyBorder="1" applyAlignment="1">
      <alignment horizontal="left" vertical="center"/>
    </xf>
    <xf numFmtId="0" fontId="0" fillId="0" borderId="0" xfId="0" applyAlignment="1">
      <alignmen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9" fillId="0" borderId="0" xfId="0" applyFont="1" applyAlignment="1">
      <alignment horizontal="center" vertical="center"/>
    </xf>
    <xf numFmtId="0" fontId="0" fillId="0" borderId="56" xfId="0" applyBorder="1"/>
    <xf numFmtId="0" fontId="0" fillId="0" borderId="56" xfId="0" applyBorder="1" applyAlignment="1">
      <alignment horizontal="center"/>
    </xf>
    <xf numFmtId="0" fontId="0" fillId="0" borderId="55" xfId="0" applyBorder="1"/>
    <xf numFmtId="0" fontId="0" fillId="0" borderId="55" xfId="0" applyBorder="1" applyAlignment="1">
      <alignment horizontal="center"/>
    </xf>
    <xf numFmtId="0" fontId="32" fillId="16" borderId="0" xfId="0" applyFont="1" applyFill="1" applyAlignment="1">
      <alignment horizontal="left" vertical="center"/>
    </xf>
    <xf numFmtId="0" fontId="28" fillId="16" borderId="0" xfId="0" applyFont="1" applyFill="1" applyAlignment="1">
      <alignment horizontal="left" vertical="center"/>
    </xf>
    <xf numFmtId="0" fontId="27" fillId="16" borderId="0" xfId="0" applyFont="1" applyFill="1" applyAlignment="1">
      <alignment horizontal="right" vertical="center"/>
    </xf>
    <xf numFmtId="0" fontId="4" fillId="16" borderId="53" xfId="0" applyFont="1" applyFill="1" applyBorder="1" applyAlignment="1">
      <alignment horizontal="left" vertical="center"/>
    </xf>
    <xf numFmtId="0" fontId="0" fillId="16" borderId="54" xfId="0" applyFill="1" applyBorder="1" applyProtection="1">
      <protection hidden="1"/>
    </xf>
    <xf numFmtId="0" fontId="0" fillId="16" borderId="0" xfId="0" applyFill="1" applyProtection="1">
      <protection hidden="1"/>
    </xf>
    <xf numFmtId="0" fontId="0" fillId="16" borderId="0" xfId="0" applyFill="1" applyProtection="1">
      <protection locked="0" hidden="1"/>
    </xf>
    <xf numFmtId="0" fontId="0" fillId="18" borderId="0" xfId="0" applyFill="1"/>
    <xf numFmtId="164" fontId="0" fillId="8" borderId="5" xfId="0" applyNumberFormat="1" applyFill="1" applyBorder="1" applyAlignment="1">
      <alignment horizontal="center" vertical="center"/>
    </xf>
    <xf numFmtId="164" fontId="4" fillId="0" borderId="0" xfId="0" applyNumberFormat="1" applyFont="1" applyAlignment="1">
      <alignment horizontal="left" vertical="center"/>
    </xf>
    <xf numFmtId="9" fontId="24" fillId="0" borderId="0" xfId="2" applyFont="1" applyBorder="1" applyAlignment="1">
      <alignment horizontal="right" vertical="center"/>
    </xf>
    <xf numFmtId="0" fontId="4" fillId="0" borderId="61" xfId="0" applyFont="1" applyBorder="1" applyAlignment="1">
      <alignment horizontal="left" vertical="center"/>
    </xf>
    <xf numFmtId="0" fontId="21" fillId="0" borderId="61" xfId="0" applyFont="1" applyBorder="1" applyAlignment="1">
      <alignment horizontal="left" vertical="center"/>
    </xf>
    <xf numFmtId="0" fontId="13" fillId="0" borderId="61" xfId="0" applyFont="1" applyBorder="1" applyAlignment="1">
      <alignment horizontal="right" vertical="center"/>
    </xf>
    <xf numFmtId="0" fontId="28" fillId="0" borderId="0" xfId="0" applyFont="1" applyAlignment="1">
      <alignment horizontal="center" vertical="center" wrapText="1"/>
    </xf>
    <xf numFmtId="0" fontId="13" fillId="0" borderId="0" xfId="0" applyFont="1" applyAlignment="1">
      <alignment horizontal="center" vertical="center"/>
    </xf>
    <xf numFmtId="0" fontId="2" fillId="0" borderId="0" xfId="0" applyFont="1"/>
    <xf numFmtId="14" fontId="13" fillId="0" borderId="0" xfId="0" applyNumberFormat="1" applyFont="1" applyAlignment="1">
      <alignment horizontal="center" vertical="center"/>
    </xf>
    <xf numFmtId="0" fontId="0" fillId="19" borderId="0" xfId="0" applyFill="1" applyAlignment="1">
      <alignment horizontal="center" vertical="center"/>
    </xf>
    <xf numFmtId="49" fontId="21" fillId="0" borderId="0" xfId="0" applyNumberFormat="1" applyFont="1" applyAlignment="1">
      <alignment horizontal="left" vertical="center"/>
    </xf>
    <xf numFmtId="0" fontId="0" fillId="20" borderId="0" xfId="0" applyFill="1"/>
    <xf numFmtId="0" fontId="33" fillId="0" borderId="0" xfId="0" applyFont="1" applyAlignment="1">
      <alignment horizontal="left" vertical="center"/>
    </xf>
    <xf numFmtId="0" fontId="34" fillId="0" borderId="0" xfId="0" applyFont="1" applyAlignment="1">
      <alignment horizontal="right" vertical="center"/>
    </xf>
    <xf numFmtId="164" fontId="34" fillId="0" borderId="0" xfId="0" applyNumberFormat="1" applyFont="1" applyAlignment="1">
      <alignment horizontal="right" vertical="center"/>
    </xf>
    <xf numFmtId="0" fontId="0" fillId="0" borderId="36" xfId="0" applyBorder="1"/>
    <xf numFmtId="0" fontId="0" fillId="0" borderId="35" xfId="0" applyBorder="1"/>
    <xf numFmtId="0" fontId="0" fillId="0" borderId="37" xfId="0" applyBorder="1"/>
    <xf numFmtId="0" fontId="0" fillId="0" borderId="54" xfId="0" applyBorder="1"/>
    <xf numFmtId="0" fontId="0" fillId="0" borderId="53" xfId="0" applyBorder="1"/>
    <xf numFmtId="0" fontId="0" fillId="0" borderId="33" xfId="0" applyBorder="1"/>
    <xf numFmtId="0" fontId="0" fillId="0" borderId="31" xfId="0" applyBorder="1"/>
    <xf numFmtId="0" fontId="0" fillId="0" borderId="44" xfId="0" applyBorder="1"/>
    <xf numFmtId="164" fontId="29" fillId="0" borderId="0" xfId="0" applyNumberFormat="1" applyFont="1" applyAlignment="1">
      <alignment horizontal="right" vertical="center"/>
    </xf>
    <xf numFmtId="0" fontId="0" fillId="0" borderId="50" xfId="0" applyBorder="1"/>
    <xf numFmtId="0" fontId="35" fillId="0" borderId="0" xfId="0" applyFont="1" applyAlignment="1">
      <alignment horizontal="center" vertical="center"/>
    </xf>
    <xf numFmtId="0" fontId="29" fillId="0" borderId="0" xfId="0" applyFont="1" applyAlignment="1">
      <alignment horizontal="center" vertical="center"/>
    </xf>
    <xf numFmtId="164" fontId="21" fillId="0" borderId="12" xfId="0" applyNumberFormat="1" applyFont="1" applyBorder="1" applyAlignment="1">
      <alignment horizontal="center" vertical="center"/>
    </xf>
    <xf numFmtId="1" fontId="21" fillId="0" borderId="12" xfId="0" applyNumberFormat="1" applyFont="1" applyBorder="1" applyAlignment="1">
      <alignment horizontal="center" vertical="center"/>
    </xf>
    <xf numFmtId="164" fontId="21" fillId="0" borderId="41" xfId="0" applyNumberFormat="1" applyFont="1" applyBorder="1" applyAlignment="1">
      <alignment horizontal="center" vertical="center"/>
    </xf>
    <xf numFmtId="9" fontId="24" fillId="0" borderId="0" xfId="2" applyFont="1" applyBorder="1" applyAlignment="1">
      <alignment horizontal="center" vertical="center"/>
    </xf>
    <xf numFmtId="0" fontId="4" fillId="0" borderId="0" xfId="0" applyFont="1" applyAlignment="1">
      <alignment horizontal="left" vertical="center" wrapText="1"/>
    </xf>
    <xf numFmtId="1" fontId="15" fillId="0" borderId="0" xfId="0" applyNumberFormat="1" applyFont="1" applyAlignment="1">
      <alignment horizontal="right" vertical="center"/>
    </xf>
    <xf numFmtId="2" fontId="15" fillId="0" borderId="0" xfId="0" applyNumberFormat="1" applyFont="1" applyAlignment="1">
      <alignment horizontal="right" vertical="center"/>
    </xf>
    <xf numFmtId="165" fontId="15" fillId="0" borderId="0" xfId="0" applyNumberFormat="1" applyFont="1" applyAlignment="1">
      <alignment horizontal="right" vertical="center"/>
    </xf>
    <xf numFmtId="9" fontId="4" fillId="0" borderId="0" xfId="2" applyFont="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center" vertical="center"/>
    </xf>
    <xf numFmtId="1" fontId="15" fillId="0" borderId="0" xfId="0" applyNumberFormat="1" applyFont="1" applyAlignment="1">
      <alignment horizontal="center" vertical="center"/>
    </xf>
    <xf numFmtId="0" fontId="4" fillId="7" borderId="12" xfId="0" applyFont="1" applyFill="1" applyBorder="1" applyAlignment="1">
      <alignment horizontal="center" vertical="center"/>
    </xf>
    <xf numFmtId="9" fontId="4" fillId="0" borderId="0" xfId="0" applyNumberFormat="1" applyFont="1" applyAlignment="1">
      <alignment horizontal="left" vertical="center"/>
    </xf>
    <xf numFmtId="0" fontId="4" fillId="21" borderId="36" xfId="0" applyFont="1" applyFill="1" applyBorder="1" applyAlignment="1">
      <alignment horizontal="left" vertical="center"/>
    </xf>
    <xf numFmtId="0" fontId="4" fillId="21" borderId="37" xfId="0" applyFont="1" applyFill="1" applyBorder="1" applyAlignment="1">
      <alignment horizontal="left" vertical="center"/>
    </xf>
    <xf numFmtId="0" fontId="4" fillId="21" borderId="54" xfId="0" applyFont="1" applyFill="1" applyBorder="1" applyAlignment="1">
      <alignment horizontal="left" vertical="center"/>
    </xf>
    <xf numFmtId="0" fontId="4" fillId="21" borderId="0" xfId="0" applyFont="1" applyFill="1" applyAlignment="1">
      <alignment horizontal="right" vertical="center"/>
    </xf>
    <xf numFmtId="9" fontId="4" fillId="21" borderId="0" xfId="0" applyNumberFormat="1" applyFont="1" applyFill="1" applyAlignment="1">
      <alignment horizontal="center" vertical="center"/>
    </xf>
    <xf numFmtId="0" fontId="4" fillId="21" borderId="53" xfId="0" applyFont="1" applyFill="1" applyBorder="1" applyAlignment="1">
      <alignment horizontal="left" vertical="center"/>
    </xf>
    <xf numFmtId="0" fontId="4" fillId="21" borderId="0" xfId="0" applyFont="1" applyFill="1" applyAlignment="1">
      <alignment horizontal="center" vertical="center"/>
    </xf>
    <xf numFmtId="0" fontId="4" fillId="21" borderId="0" xfId="0" applyFont="1" applyFill="1" applyAlignment="1">
      <alignment horizontal="left" vertical="center"/>
    </xf>
    <xf numFmtId="0" fontId="4" fillId="21" borderId="33" xfId="0" applyFont="1" applyFill="1" applyBorder="1" applyAlignment="1">
      <alignment horizontal="left" vertical="center"/>
    </xf>
    <xf numFmtId="0" fontId="4" fillId="21" borderId="31" xfId="0" applyFont="1" applyFill="1" applyBorder="1" applyAlignment="1">
      <alignment horizontal="left" vertical="center"/>
    </xf>
    <xf numFmtId="0" fontId="4" fillId="21" borderId="44" xfId="0" applyFont="1" applyFill="1" applyBorder="1" applyAlignment="1">
      <alignment horizontal="left" vertical="center"/>
    </xf>
    <xf numFmtId="0" fontId="38" fillId="0" borderId="0" xfId="0" applyFont="1" applyAlignment="1">
      <alignment horizontal="center" vertical="center" wrapText="1"/>
    </xf>
    <xf numFmtId="0" fontId="0" fillId="0" borderId="43" xfId="0" applyBorder="1" applyAlignment="1">
      <alignment horizontal="center" vertical="center"/>
    </xf>
    <xf numFmtId="0" fontId="0" fillId="0" borderId="63" xfId="0" applyBorder="1" applyAlignment="1">
      <alignment horizontal="center" vertical="center"/>
    </xf>
    <xf numFmtId="0" fontId="0" fillId="10" borderId="63" xfId="0" applyFill="1" applyBorder="1" applyAlignment="1">
      <alignment horizontal="center" vertical="center"/>
    </xf>
    <xf numFmtId="0" fontId="0" fillId="10" borderId="24" xfId="0" applyFill="1"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64" xfId="0" applyBorder="1" applyAlignment="1">
      <alignment horizontal="center" vertical="center"/>
    </xf>
    <xf numFmtId="164" fontId="0" fillId="2" borderId="35" xfId="0" applyNumberFormat="1" applyFill="1" applyBorder="1" applyAlignment="1">
      <alignment horizontal="center" vertical="center" wrapText="1"/>
    </xf>
    <xf numFmtId="0" fontId="0" fillId="0" borderId="54" xfId="0" applyBorder="1" applyAlignment="1">
      <alignment horizontal="center" vertical="center"/>
    </xf>
    <xf numFmtId="164" fontId="0" fillId="2" borderId="37" xfId="0" applyNumberFormat="1" applyFill="1" applyBorder="1" applyAlignment="1">
      <alignment horizontal="center" vertical="center" wrapText="1"/>
    </xf>
    <xf numFmtId="164" fontId="0" fillId="2" borderId="53" xfId="0" applyNumberFormat="1" applyFill="1" applyBorder="1" applyAlignment="1">
      <alignment horizontal="center" vertical="center" wrapText="1"/>
    </xf>
    <xf numFmtId="0" fontId="27" fillId="3" borderId="0" xfId="0" applyFont="1" applyFill="1" applyAlignment="1" applyProtection="1">
      <alignment horizontal="center" vertical="center"/>
      <protection locked="0"/>
    </xf>
    <xf numFmtId="0" fontId="0" fillId="17" borderId="57" xfId="0" applyFill="1" applyBorder="1" applyAlignment="1" applyProtection="1">
      <alignment horizontal="center" vertical="center"/>
      <protection locked="0"/>
    </xf>
    <xf numFmtId="164" fontId="0" fillId="17" borderId="57" xfId="0" applyNumberFormat="1" applyFill="1" applyBorder="1" applyAlignment="1" applyProtection="1">
      <alignment horizontal="center" vertical="center" wrapText="1"/>
      <protection locked="0"/>
    </xf>
    <xf numFmtId="0" fontId="35" fillId="17" borderId="57" xfId="0" applyFont="1" applyFill="1" applyBorder="1" applyAlignment="1" applyProtection="1">
      <alignment horizontal="center" vertical="center"/>
      <protection locked="0"/>
    </xf>
    <xf numFmtId="164" fontId="0" fillId="17" borderId="65" xfId="0" applyNumberFormat="1" applyFill="1" applyBorder="1" applyAlignment="1" applyProtection="1">
      <alignment horizontal="center" vertical="center" wrapText="1"/>
      <protection locked="0"/>
    </xf>
    <xf numFmtId="0" fontId="4" fillId="0" borderId="0" xfId="0" applyFont="1" applyAlignment="1">
      <alignment horizontal="right" vertical="center"/>
    </xf>
    <xf numFmtId="0" fontId="4" fillId="0" borderId="67" xfId="0" applyFont="1" applyBorder="1" applyAlignment="1">
      <alignment horizontal="left" vertical="center"/>
    </xf>
    <xf numFmtId="0" fontId="21" fillId="0" borderId="66" xfId="0" applyFont="1" applyBorder="1" applyAlignment="1">
      <alignment horizontal="left" vertical="center"/>
    </xf>
    <xf numFmtId="0" fontId="4" fillId="0" borderId="56" xfId="0" applyFont="1" applyBorder="1" applyAlignment="1">
      <alignment horizontal="left" vertical="center"/>
    </xf>
    <xf numFmtId="0" fontId="4" fillId="0" borderId="69" xfId="0" applyFont="1" applyBorder="1" applyAlignment="1">
      <alignment horizontal="left" vertical="center"/>
    </xf>
    <xf numFmtId="0" fontId="4" fillId="0" borderId="74" xfId="0" applyFont="1" applyBorder="1" applyAlignment="1">
      <alignment horizontal="left" vertical="center"/>
    </xf>
    <xf numFmtId="0" fontId="4" fillId="0" borderId="75" xfId="0" applyFont="1" applyBorder="1" applyAlignment="1">
      <alignment horizontal="left" vertical="center"/>
    </xf>
    <xf numFmtId="0" fontId="4" fillId="0" borderId="77" xfId="0" applyFont="1" applyBorder="1" applyAlignment="1">
      <alignment horizontal="left" vertical="center"/>
    </xf>
    <xf numFmtId="0" fontId="4" fillId="0" borderId="78" xfId="0" applyFont="1" applyBorder="1" applyAlignment="1">
      <alignment horizontal="left" vertical="center"/>
    </xf>
    <xf numFmtId="0" fontId="4" fillId="0" borderId="82" xfId="0" applyFont="1" applyBorder="1" applyAlignment="1">
      <alignment horizontal="left" vertical="center"/>
    </xf>
    <xf numFmtId="0" fontId="40" fillId="0" borderId="74" xfId="0" applyFont="1" applyBorder="1" applyAlignment="1">
      <alignment horizontal="right" vertical="center"/>
    </xf>
    <xf numFmtId="0" fontId="40" fillId="0" borderId="74" xfId="0" applyFont="1" applyBorder="1" applyAlignment="1">
      <alignment horizontal="center" vertical="center"/>
    </xf>
    <xf numFmtId="0" fontId="40" fillId="0" borderId="77" xfId="0" applyFont="1" applyBorder="1" applyAlignment="1">
      <alignment horizontal="right" vertical="center"/>
    </xf>
    <xf numFmtId="0" fontId="40" fillId="0" borderId="77" xfId="0" applyFont="1" applyBorder="1" applyAlignment="1">
      <alignment horizontal="center" vertical="center"/>
    </xf>
    <xf numFmtId="0" fontId="40" fillId="0" borderId="0" xfId="0" applyFont="1" applyAlignment="1">
      <alignment horizontal="right" vertical="center"/>
    </xf>
    <xf numFmtId="0" fontId="40" fillId="0" borderId="0" xfId="0" applyFont="1" applyAlignment="1">
      <alignment horizontal="center" vertical="center"/>
    </xf>
    <xf numFmtId="0" fontId="40" fillId="0" borderId="56" xfId="0" applyFont="1" applyBorder="1" applyAlignment="1">
      <alignment horizontal="right" vertical="center"/>
    </xf>
    <xf numFmtId="0" fontId="40" fillId="0" borderId="56" xfId="0" applyFont="1" applyBorder="1" applyAlignment="1">
      <alignment horizontal="center" vertical="center"/>
    </xf>
    <xf numFmtId="0" fontId="4" fillId="0" borderId="54" xfId="0" applyFont="1" applyBorder="1" applyAlignment="1">
      <alignment horizontal="left" vertical="top"/>
    </xf>
    <xf numFmtId="0" fontId="4" fillId="0" borderId="53" xfId="0" applyFont="1" applyBorder="1" applyAlignment="1">
      <alignment horizontal="left" vertical="top"/>
    </xf>
    <xf numFmtId="0" fontId="4" fillId="0" borderId="0" xfId="0" applyFont="1" applyAlignment="1">
      <alignment horizontal="left" vertical="top"/>
    </xf>
    <xf numFmtId="165" fontId="4" fillId="0" borderId="12" xfId="0" applyNumberFormat="1" applyFont="1" applyBorder="1" applyAlignment="1">
      <alignment horizontal="center" vertical="center"/>
    </xf>
    <xf numFmtId="0" fontId="4" fillId="0" borderId="84" xfId="0" applyFont="1" applyBorder="1" applyAlignment="1">
      <alignment horizontal="left" vertical="center"/>
    </xf>
    <xf numFmtId="0" fontId="4" fillId="0" borderId="43"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left" vertical="center"/>
    </xf>
    <xf numFmtId="0" fontId="4" fillId="0" borderId="45" xfId="0" applyFont="1" applyBorder="1" applyAlignment="1">
      <alignment horizontal="left" vertical="center"/>
    </xf>
    <xf numFmtId="164" fontId="0" fillId="2" borderId="0" xfId="0" applyNumberFormat="1" applyFill="1" applyAlignment="1">
      <alignment horizontal="center" vertical="center" wrapText="1"/>
    </xf>
    <xf numFmtId="0" fontId="0" fillId="0" borderId="0" xfId="0" applyAlignment="1">
      <alignment horizontal="center" vertical="center" wrapText="1"/>
    </xf>
    <xf numFmtId="164" fontId="0" fillId="0" borderId="0" xfId="0" applyNumberFormat="1" applyAlignment="1">
      <alignment horizontal="center" vertical="center" wrapText="1"/>
    </xf>
    <xf numFmtId="164" fontId="16" fillId="0" borderId="0" xfId="0" applyNumberFormat="1" applyFont="1"/>
    <xf numFmtId="0" fontId="0" fillId="0" borderId="0" xfId="0" applyAlignment="1">
      <alignment wrapText="1"/>
    </xf>
    <xf numFmtId="0" fontId="9" fillId="0" borderId="0" xfId="0" applyFont="1" applyAlignment="1">
      <alignment horizontal="center" vertical="center" wrapText="1"/>
    </xf>
    <xf numFmtId="0" fontId="16" fillId="0" borderId="0" xfId="0" applyFont="1" applyAlignment="1">
      <alignment wrapText="1"/>
    </xf>
    <xf numFmtId="0" fontId="9" fillId="0" borderId="0" xfId="0" applyFont="1" applyAlignment="1">
      <alignment wrapText="1"/>
    </xf>
    <xf numFmtId="0" fontId="42" fillId="0" borderId="0" xfId="0" applyFont="1" applyAlignment="1">
      <alignment wrapText="1"/>
    </xf>
    <xf numFmtId="0" fontId="16" fillId="0" borderId="0" xfId="0" applyFont="1"/>
    <xf numFmtId="0" fontId="37" fillId="0" borderId="0" xfId="0" applyFont="1" applyAlignment="1">
      <alignment horizontal="center" vertical="center" wrapText="1"/>
    </xf>
    <xf numFmtId="0" fontId="4" fillId="7" borderId="0" xfId="0" applyFont="1" applyFill="1" applyAlignment="1">
      <alignment horizontal="left" vertical="center"/>
    </xf>
    <xf numFmtId="0" fontId="39" fillId="0" borderId="0" xfId="0" applyFont="1" applyAlignment="1">
      <alignment vertical="center"/>
    </xf>
    <xf numFmtId="0" fontId="27" fillId="0" borderId="0" xfId="0" applyFont="1" applyAlignment="1">
      <alignment horizontal="center" vertical="center"/>
    </xf>
    <xf numFmtId="0" fontId="4" fillId="22" borderId="71" xfId="0" applyFont="1" applyFill="1" applyBorder="1" applyAlignment="1">
      <alignment horizontal="left" vertical="center"/>
    </xf>
    <xf numFmtId="0" fontId="4" fillId="22" borderId="72" xfId="0" applyFont="1" applyFill="1" applyBorder="1" applyAlignment="1">
      <alignment horizontal="left" vertical="center"/>
    </xf>
    <xf numFmtId="0" fontId="4" fillId="22" borderId="70" xfId="0" applyFont="1" applyFill="1" applyBorder="1" applyAlignment="1">
      <alignment horizontal="left" vertical="center"/>
    </xf>
    <xf numFmtId="0" fontId="24" fillId="22" borderId="71" xfId="0" applyFont="1" applyFill="1" applyBorder="1" applyAlignment="1">
      <alignment horizontal="center" vertical="center"/>
    </xf>
    <xf numFmtId="0" fontId="13" fillId="0" borderId="0" xfId="0" applyFont="1" applyAlignment="1" applyProtection="1">
      <alignment horizontal="right" vertical="center"/>
      <protection locked="0"/>
    </xf>
    <xf numFmtId="0" fontId="4" fillId="23" borderId="0" xfId="0" applyFont="1" applyFill="1" applyAlignment="1">
      <alignment horizontal="left" vertical="center"/>
    </xf>
    <xf numFmtId="0" fontId="4" fillId="24" borderId="50" xfId="0" applyFont="1" applyFill="1" applyBorder="1" applyAlignment="1">
      <alignment horizontal="center" vertical="center" wrapText="1"/>
    </xf>
    <xf numFmtId="2" fontId="0" fillId="24" borderId="0" xfId="0" applyNumberFormat="1" applyFill="1"/>
    <xf numFmtId="0" fontId="0" fillId="24" borderId="0" xfId="0" applyFill="1"/>
    <xf numFmtId="0" fontId="0" fillId="0" borderId="0" xfId="0" quotePrefix="1"/>
    <xf numFmtId="0" fontId="37" fillId="0" borderId="0" xfId="0" applyFont="1" applyAlignment="1">
      <alignment vertical="center" wrapText="1"/>
    </xf>
    <xf numFmtId="1" fontId="0" fillId="0" borderId="0" xfId="0" applyNumberFormat="1" applyAlignment="1">
      <alignment horizontal="center"/>
    </xf>
    <xf numFmtId="0" fontId="44" fillId="15" borderId="0" xfId="0" applyFont="1" applyFill="1"/>
    <xf numFmtId="0" fontId="44" fillId="15" borderId="0" xfId="0" applyFont="1" applyFill="1" applyAlignment="1">
      <alignment horizontal="center" vertical="center"/>
    </xf>
    <xf numFmtId="0" fontId="47" fillId="15" borderId="0" xfId="0" applyFont="1" applyFill="1" applyAlignment="1">
      <alignment horizontal="center"/>
    </xf>
    <xf numFmtId="0" fontId="0" fillId="2" borderId="0" xfId="0" applyFill="1"/>
    <xf numFmtId="0" fontId="21" fillId="2" borderId="0" xfId="0" applyFont="1" applyFill="1" applyAlignment="1">
      <alignment horizontal="left" vertical="center"/>
    </xf>
    <xf numFmtId="0" fontId="0" fillId="2" borderId="0" xfId="0" applyFill="1" applyAlignment="1">
      <alignment horizontal="left"/>
    </xf>
    <xf numFmtId="0" fontId="0" fillId="2" borderId="0" xfId="0" applyFill="1" applyAlignment="1">
      <alignment horizontal="left" vertical="center" wrapText="1"/>
    </xf>
    <xf numFmtId="0" fontId="0" fillId="0" borderId="0" xfId="0"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wrapText="1"/>
    </xf>
    <xf numFmtId="0" fontId="45" fillId="0" borderId="0" xfId="3"/>
    <xf numFmtId="0" fontId="49" fillId="15" borderId="0" xfId="0" applyFont="1" applyFill="1" applyAlignment="1">
      <alignment horizontal="center" vertical="center"/>
    </xf>
    <xf numFmtId="0" fontId="0" fillId="2" borderId="0" xfId="0" applyFill="1" applyAlignment="1">
      <alignment horizontal="left" vertical="center" wrapText="1"/>
    </xf>
    <xf numFmtId="0" fontId="45" fillId="2" borderId="0" xfId="3" applyFill="1" applyAlignment="1">
      <alignment horizontal="left" vertical="center" wrapText="1"/>
    </xf>
    <xf numFmtId="0" fontId="0" fillId="2" borderId="0" xfId="0" applyFill="1" applyAlignment="1">
      <alignment horizontal="left" wrapText="1"/>
    </xf>
    <xf numFmtId="0" fontId="44" fillId="15" borderId="0" xfId="0" applyFont="1" applyFill="1" applyAlignment="1">
      <alignment horizontal="center" wrapText="1"/>
    </xf>
    <xf numFmtId="0" fontId="46" fillId="0" borderId="0" xfId="0" applyFont="1" applyAlignment="1">
      <alignment horizontal="center" vertical="center"/>
    </xf>
    <xf numFmtId="0" fontId="48" fillId="15" borderId="0" xfId="0" applyFont="1" applyFill="1" applyAlignment="1">
      <alignment horizontal="center" wrapText="1"/>
    </xf>
    <xf numFmtId="0" fontId="0" fillId="2" borderId="0" xfId="0" applyFill="1" applyAlignment="1">
      <alignment horizontal="center"/>
    </xf>
    <xf numFmtId="0" fontId="12"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top" wrapText="1"/>
    </xf>
    <xf numFmtId="0" fontId="21" fillId="0" borderId="76" xfId="0" applyFont="1" applyBorder="1" applyAlignment="1">
      <alignment horizontal="right" vertical="center"/>
    </xf>
    <xf numFmtId="0" fontId="21" fillId="0" borderId="77" xfId="0" applyFont="1" applyBorder="1" applyAlignment="1">
      <alignment horizontal="right" vertical="center"/>
    </xf>
    <xf numFmtId="0" fontId="21" fillId="0" borderId="68" xfId="0" applyFont="1" applyBorder="1" applyAlignment="1">
      <alignment horizontal="right" vertical="center"/>
    </xf>
    <xf numFmtId="0" fontId="21" fillId="0" borderId="56" xfId="0" applyFont="1" applyBorder="1" applyAlignment="1">
      <alignment horizontal="right" vertical="center"/>
    </xf>
    <xf numFmtId="0" fontId="4" fillId="0" borderId="81" xfId="0" applyFont="1" applyBorder="1" applyAlignment="1">
      <alignment horizontal="center" vertical="center"/>
    </xf>
    <xf numFmtId="0" fontId="4" fillId="0" borderId="77" xfId="0" applyFont="1" applyBorder="1" applyAlignment="1">
      <alignment horizontal="center" vertical="center"/>
    </xf>
    <xf numFmtId="0" fontId="4" fillId="0" borderId="83" xfId="0" applyFont="1" applyBorder="1" applyAlignment="1">
      <alignment horizontal="center" vertical="center"/>
    </xf>
    <xf numFmtId="0" fontId="4" fillId="0" borderId="56" xfId="0" applyFont="1" applyBorder="1" applyAlignment="1">
      <alignment horizontal="center" vertical="center"/>
    </xf>
    <xf numFmtId="0" fontId="12" fillId="0" borderId="0" xfId="0" applyFont="1" applyAlignment="1">
      <alignment horizontal="left" wrapText="1"/>
    </xf>
    <xf numFmtId="0" fontId="21" fillId="22" borderId="79" xfId="0" applyFont="1" applyFill="1" applyBorder="1" applyAlignment="1">
      <alignment horizontal="center" vertical="center"/>
    </xf>
    <xf numFmtId="0" fontId="21" fillId="22" borderId="71" xfId="0" applyFont="1" applyFill="1" applyBorder="1" applyAlignment="1">
      <alignment horizontal="center" vertical="center"/>
    </xf>
    <xf numFmtId="0" fontId="4" fillId="0" borderId="80" xfId="0" applyFont="1" applyBorder="1" applyAlignment="1">
      <alignment horizontal="center" vertical="center"/>
    </xf>
    <xf numFmtId="0" fontId="4" fillId="0" borderId="74" xfId="0" applyFont="1" applyBorder="1" applyAlignment="1">
      <alignment horizontal="center" vertical="center"/>
    </xf>
    <xf numFmtId="0" fontId="21" fillId="0" borderId="73" xfId="0" applyFont="1" applyBorder="1" applyAlignment="1">
      <alignment horizontal="right" vertical="center"/>
    </xf>
    <xf numFmtId="0" fontId="21" fillId="0" borderId="74" xfId="0" applyFont="1" applyBorder="1" applyAlignment="1">
      <alignment horizontal="right" vertical="center"/>
    </xf>
    <xf numFmtId="0" fontId="26" fillId="16" borderId="54" xfId="0" applyFont="1" applyFill="1" applyBorder="1" applyAlignment="1" applyProtection="1">
      <alignment horizontal="center" vertical="center"/>
      <protection hidden="1"/>
    </xf>
    <xf numFmtId="0" fontId="26" fillId="16" borderId="0" xfId="0" applyFont="1" applyFill="1" applyAlignment="1" applyProtection="1">
      <alignment horizontal="center" vertical="center"/>
      <protection hidden="1"/>
    </xf>
    <xf numFmtId="9" fontId="24" fillId="0" borderId="0" xfId="2" applyFont="1" applyBorder="1" applyAlignment="1">
      <alignment horizontal="center" vertical="center"/>
    </xf>
    <xf numFmtId="0" fontId="38" fillId="0" borderId="62" xfId="0" applyFont="1" applyBorder="1" applyAlignment="1">
      <alignment horizontal="center" vertical="center" wrapText="1"/>
    </xf>
    <xf numFmtId="0" fontId="38" fillId="0" borderId="0" xfId="0" applyFont="1" applyAlignment="1">
      <alignment horizontal="center" vertical="center" wrapText="1"/>
    </xf>
    <xf numFmtId="0" fontId="21" fillId="0" borderId="0" xfId="0" applyFont="1" applyAlignment="1">
      <alignment horizontal="center" vertical="center"/>
    </xf>
    <xf numFmtId="14" fontId="15" fillId="0" borderId="0" xfId="0" applyNumberFormat="1" applyFont="1" applyAlignment="1">
      <alignment horizontal="center" vertical="center"/>
    </xf>
    <xf numFmtId="0" fontId="35" fillId="17" borderId="59" xfId="0" applyFont="1" applyFill="1" applyBorder="1" applyAlignment="1" applyProtection="1">
      <alignment horizontal="center" vertical="center"/>
      <protection locked="0"/>
    </xf>
    <xf numFmtId="0" fontId="35" fillId="17" borderId="58" xfId="0" applyFont="1" applyFill="1" applyBorder="1" applyAlignment="1" applyProtection="1">
      <alignment horizontal="center" vertical="center"/>
      <protection locked="0"/>
    </xf>
    <xf numFmtId="0" fontId="35" fillId="17" borderId="60" xfId="0" applyFont="1" applyFill="1" applyBorder="1" applyAlignment="1" applyProtection="1">
      <alignment horizontal="center" vertical="center"/>
      <protection locked="0"/>
    </xf>
    <xf numFmtId="0" fontId="13" fillId="0" borderId="0" xfId="0" applyFont="1" applyAlignment="1">
      <alignment horizontal="center" vertical="center"/>
    </xf>
    <xf numFmtId="0" fontId="43" fillId="17" borderId="84" xfId="0" applyFont="1" applyFill="1" applyBorder="1" applyAlignment="1" applyProtection="1">
      <alignment horizontal="center" vertical="center"/>
      <protection locked="0"/>
    </xf>
    <xf numFmtId="0" fontId="43" fillId="17" borderId="43" xfId="0" applyFont="1" applyFill="1" applyBorder="1" applyAlignment="1" applyProtection="1">
      <alignment horizontal="center" vertical="center"/>
      <protection locked="0"/>
    </xf>
    <xf numFmtId="0" fontId="21" fillId="21" borderId="35" xfId="0" applyFont="1" applyFill="1" applyBorder="1" applyAlignment="1">
      <alignment horizontal="center" vertical="center"/>
    </xf>
    <xf numFmtId="0" fontId="4" fillId="21" borderId="31" xfId="0" applyFont="1" applyFill="1" applyBorder="1" applyAlignment="1">
      <alignment horizontal="right" vertical="center"/>
    </xf>
    <xf numFmtId="0" fontId="4" fillId="21" borderId="31" xfId="0" applyFont="1" applyFill="1" applyBorder="1" applyAlignment="1">
      <alignment horizontal="center" vertical="center"/>
    </xf>
    <xf numFmtId="9" fontId="4" fillId="21" borderId="0" xfId="0" applyNumberFormat="1" applyFont="1" applyFill="1" applyAlignment="1">
      <alignment horizontal="center" vertical="center"/>
    </xf>
    <xf numFmtId="0" fontId="4" fillId="17" borderId="13" xfId="0" applyFont="1" applyFill="1" applyBorder="1" applyAlignment="1">
      <alignment horizontal="center" vertical="center"/>
    </xf>
    <xf numFmtId="0" fontId="4" fillId="17" borderId="15" xfId="0" applyFont="1" applyFill="1" applyBorder="1" applyAlignment="1">
      <alignment horizontal="center" vertical="center"/>
    </xf>
    <xf numFmtId="0" fontId="37" fillId="0" borderId="0" xfId="0" applyFont="1" applyAlignment="1">
      <alignment horizontal="center" vertical="center" wrapText="1"/>
    </xf>
    <xf numFmtId="0" fontId="37" fillId="0" borderId="62" xfId="0" applyFont="1" applyBorder="1" applyAlignment="1">
      <alignment horizontal="center" vertical="center" wrapText="1"/>
    </xf>
    <xf numFmtId="0" fontId="39" fillId="0" borderId="0" xfId="0" applyFont="1" applyAlignment="1">
      <alignment horizontal="center" vertical="center"/>
    </xf>
    <xf numFmtId="0" fontId="7" fillId="5" borderId="36"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0" fillId="2" borderId="36"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0" xfId="0" applyFill="1" applyAlignment="1">
      <alignment horizontal="center" vertical="center" wrapText="1"/>
    </xf>
    <xf numFmtId="0" fontId="0" fillId="0" borderId="31" xfId="0" applyBorder="1" applyAlignment="1">
      <alignment horizontal="center" vertical="center"/>
    </xf>
    <xf numFmtId="0" fontId="0" fillId="0" borderId="54" xfId="0" applyBorder="1" applyAlignment="1">
      <alignment horizontal="center" vertical="top" wrapText="1"/>
    </xf>
    <xf numFmtId="0" fontId="0" fillId="0" borderId="0" xfId="0" applyAlignment="1">
      <alignment horizontal="center" vertical="top" wrapText="1"/>
    </xf>
    <xf numFmtId="0" fontId="0" fillId="0" borderId="53" xfId="0" applyBorder="1" applyAlignment="1">
      <alignment horizontal="center" vertical="top" wrapText="1"/>
    </xf>
    <xf numFmtId="0" fontId="0" fillId="0" borderId="33" xfId="0" applyBorder="1" applyAlignment="1">
      <alignment horizontal="center" vertical="top" wrapText="1"/>
    </xf>
    <xf numFmtId="0" fontId="0" fillId="0" borderId="31" xfId="0" applyBorder="1" applyAlignment="1">
      <alignment horizontal="center" vertical="top" wrapText="1"/>
    </xf>
    <xf numFmtId="0" fontId="0" fillId="0" borderId="44" xfId="0" applyBorder="1" applyAlignment="1">
      <alignment horizontal="center" vertical="top" wrapText="1"/>
    </xf>
    <xf numFmtId="0" fontId="9" fillId="4" borderId="1"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38" xfId="0" applyFont="1" applyFill="1" applyBorder="1" applyAlignment="1">
      <alignment horizontal="center" vertical="center"/>
    </xf>
    <xf numFmtId="0" fontId="9" fillId="4" borderId="32" xfId="0" applyFont="1" applyFill="1" applyBorder="1" applyAlignment="1">
      <alignment horizontal="center" vertical="center"/>
    </xf>
    <xf numFmtId="0" fontId="11" fillId="0" borderId="0" xfId="0" applyFont="1" applyAlignment="1">
      <alignment horizontal="left" vertical="center" wrapText="1"/>
    </xf>
    <xf numFmtId="0" fontId="5" fillId="6" borderId="19" xfId="0" applyFont="1" applyFill="1" applyBorder="1" applyAlignment="1">
      <alignment horizontal="center" vertical="center"/>
    </xf>
    <xf numFmtId="0" fontId="5" fillId="6"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0" xfId="0" applyAlignment="1">
      <alignment horizontal="center"/>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45" xfId="0" applyFont="1" applyFill="1" applyBorder="1" applyAlignment="1">
      <alignment horizontal="center" vertical="center" wrapText="1"/>
    </xf>
  </cellXfs>
  <cellStyles count="4">
    <cellStyle name="Collegamento ipertestuale" xfId="3" builtinId="8"/>
    <cellStyle name="Normale" xfId="0" builtinId="0"/>
    <cellStyle name="Normale 4" xfId="1" xr:uid="{00000000-0005-0000-0000-000001000000}"/>
    <cellStyle name="Percentuale" xfId="2" builtinId="5"/>
  </cellStyles>
  <dxfs count="5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patternType="none">
          <bgColor auto="1"/>
        </patternFill>
      </fill>
    </dxf>
    <dxf>
      <font>
        <color auto="1"/>
      </font>
      <fill>
        <patternFill patternType="solid">
          <bgColor theme="0" tint="-4.9989318521683403E-2"/>
        </patternFill>
      </fill>
    </dxf>
    <dxf>
      <font>
        <color theme="0"/>
      </font>
    </dxf>
    <dxf>
      <font>
        <color auto="1"/>
      </font>
      <fill>
        <patternFill patternType="none">
          <bgColor auto="1"/>
        </patternFill>
      </fill>
      <border>
        <left style="hair">
          <color theme="4"/>
        </left>
        <right style="hair">
          <color auto="1"/>
        </right>
        <top style="hair">
          <color auto="1"/>
        </top>
        <bottom style="hair">
          <color auto="1"/>
        </bottom>
      </border>
    </dxf>
    <dxf>
      <font>
        <b/>
        <i val="0"/>
        <color rgb="FF0070C0"/>
      </font>
      <fill>
        <patternFill>
          <bgColor theme="8" tint="0.79998168889431442"/>
        </patternFill>
      </fill>
      <border>
        <left style="thin">
          <color theme="4"/>
        </left>
        <right style="thin">
          <color theme="4"/>
        </right>
        <top style="thin">
          <color theme="4"/>
        </top>
        <bottom style="thin">
          <color theme="4"/>
        </bottom>
      </border>
    </dxf>
    <dxf>
      <font>
        <color theme="1"/>
      </font>
    </dxf>
    <dxf>
      <font>
        <color rgb="FFD74301"/>
      </font>
      <fill>
        <patternFill>
          <bgColor rgb="FFFBCDCD"/>
        </patternFill>
      </fill>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thin">
          <color theme="4"/>
        </left>
        <right style="hair">
          <color auto="1"/>
        </right>
        <top style="hair">
          <color auto="1"/>
        </top>
        <bottom style="hair">
          <color auto="1"/>
        </bottom>
      </border>
    </dxf>
    <dxf>
      <font>
        <color theme="0"/>
      </font>
      <fill>
        <patternFill patternType="none">
          <bgColor auto="1"/>
        </patternFill>
      </fill>
      <border>
        <left style="thin">
          <color rgb="FF0070C0"/>
        </left>
        <vertical/>
        <horizontal/>
      </border>
    </dxf>
    <dxf>
      <font>
        <b val="0"/>
        <i/>
        <color auto="1"/>
      </font>
      <fill>
        <patternFill patternType="none">
          <bgColor auto="1"/>
        </patternFill>
      </fill>
      <border>
        <left/>
        <right/>
        <top/>
        <bottom/>
      </border>
    </dxf>
    <dxf>
      <font>
        <color theme="0"/>
      </font>
      <fill>
        <patternFill patternType="none">
          <bgColor auto="1"/>
        </patternFill>
      </fill>
    </dxf>
    <dxf>
      <font>
        <color theme="0"/>
      </font>
      <fill>
        <patternFill patternType="none">
          <bgColor auto="1"/>
        </patternFill>
      </fill>
      <border>
        <left style="thin">
          <color rgb="FF0070C0"/>
        </left>
        <vertical/>
        <horizontal/>
      </border>
    </dxf>
    <dxf>
      <font>
        <color theme="0"/>
      </font>
      <fill>
        <patternFill patternType="none">
          <bgColor auto="1"/>
        </patternFill>
      </fill>
      <border>
        <left style="thin">
          <color rgb="FF0070C0"/>
        </left>
        <right/>
        <top/>
        <bottom/>
      </border>
    </dxf>
    <dxf>
      <font>
        <color auto="1"/>
      </font>
      <fill>
        <patternFill patternType="none">
          <bgColor auto="1"/>
        </patternFill>
      </fill>
      <border>
        <left style="hair">
          <color auto="1"/>
        </left>
        <right style="hair">
          <color auto="1"/>
        </right>
        <top style="hair">
          <color auto="1"/>
        </top>
        <bottom style="hair">
          <color auto="1"/>
        </bottom>
      </border>
    </dxf>
    <dxf>
      <font>
        <color rgb="FFD74301"/>
      </font>
      <fill>
        <patternFill>
          <bgColor rgb="FFFBCDCD"/>
        </patternFill>
      </fill>
    </dxf>
    <dxf>
      <font>
        <color rgb="FFD74301"/>
      </font>
      <fill>
        <patternFill>
          <bgColor rgb="FFFB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b val="0"/>
        <i/>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val="0"/>
        <i/>
        <color auto="1"/>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4.9989318521683403E-2"/>
      </font>
      <fill>
        <patternFill patternType="solid">
          <bgColor theme="0" tint="-4.9989318521683403E-2"/>
        </patternFill>
      </fill>
    </dxf>
    <dxf>
      <font>
        <color theme="0" tint="-4.9989318521683403E-2"/>
      </font>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patternType="none">
          <bgColor auto="1"/>
        </patternFill>
      </fill>
      <border>
        <left/>
        <right/>
        <top/>
        <bottom/>
      </border>
    </dxf>
  </dxfs>
  <tableStyles count="0" defaultTableStyle="TableStyleMedium2" defaultPivotStyle="PivotStyleLight16"/>
  <colors>
    <mruColors>
      <color rgb="FFEAEAEA"/>
      <color rgb="FFDDDDDD"/>
      <color rgb="FFFBCDCD"/>
      <color rgb="FFD74301"/>
      <color rgb="FFF9ADAD"/>
      <color rgb="FFFFCDCD"/>
      <color rgb="FFFE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28" Type="http://schemas.microsoft.com/office/2006/relationships/vbaProject" Target="vbaProject.bin"/><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LOCK-T'!M34"/><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5.png"/><Relationship Id="rId9" Type="http://schemas.microsoft.com/office/2017/06/relationships/model3d" Target="../media/model3d1.glb"/><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0.png"/><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4.png"/><Relationship Id="rId6" Type="http://schemas.openxmlformats.org/officeDocument/2006/relationships/image" Target="../media/image36.png"/><Relationship Id="rId5" Type="http://schemas.openxmlformats.org/officeDocument/2006/relationships/image" Target="../media/image33.png"/><Relationship Id="rId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2.png"/><Relationship Id="rId1" Type="http://schemas.openxmlformats.org/officeDocument/2006/relationships/image" Target="../media/image37.jpe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8.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62</xdr:row>
      <xdr:rowOff>28575</xdr:rowOff>
    </xdr:from>
    <xdr:to>
      <xdr:col>3</xdr:col>
      <xdr:colOff>3714750</xdr:colOff>
      <xdr:row>64</xdr:row>
      <xdr:rowOff>123825</xdr:rowOff>
    </xdr:to>
    <xdr:sp macro="" textlink="">
      <xdr:nvSpPr>
        <xdr:cNvPr id="3" name="CasellaDiTesto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4133851" y="278701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8108164" y="4357008"/>
          <a:ext cx="8308330" cy="11962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4943143" y="3129642"/>
          <a:ext cx="9993120" cy="13813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5197597" y="3107871"/>
          <a:ext cx="9948216" cy="1379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143564</xdr:colOff>
      <xdr:row>7</xdr:row>
      <xdr:rowOff>81645</xdr:rowOff>
    </xdr:from>
    <xdr:to>
      <xdr:col>4</xdr:col>
      <xdr:colOff>1744362</xdr:colOff>
      <xdr:row>10</xdr:row>
      <xdr:rowOff>150509</xdr:rowOff>
    </xdr:to>
    <xdr:pic>
      <xdr:nvPicPr>
        <xdr:cNvPr id="2" name="Immagine 1" descr="Immagine che contiene testo, Carattere, Elementi grafici, logo&#10;&#10;Descrizione generata automaticamente">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3735850" y="816431"/>
          <a:ext cx="1795380" cy="803648"/>
        </a:xfrm>
        <a:prstGeom prst="rect">
          <a:avLst/>
        </a:prstGeom>
      </xdr:spPr>
    </xdr:pic>
    <xdr:clientData/>
  </xdr:twoCellAnchor>
  <xdr:twoCellAnchor editAs="oneCell">
    <xdr:from>
      <xdr:col>10</xdr:col>
      <xdr:colOff>0</xdr:colOff>
      <xdr:row>205</xdr:row>
      <xdr:rowOff>96774</xdr:rowOff>
    </xdr:from>
    <xdr:to>
      <xdr:col>12</xdr:col>
      <xdr:colOff>1024890</xdr:colOff>
      <xdr:row>215</xdr:row>
      <xdr:rowOff>152804</xdr:rowOff>
    </xdr:to>
    <xdr:pic>
      <xdr:nvPicPr>
        <xdr:cNvPr id="10" name="Immagine 9" descr="Immagine che contiene diagramma, origami, design&#10;&#10;Descrizione generata automaticamente">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467" b="8590"/>
        <a:stretch/>
      </xdr:blipFill>
      <xdr:spPr bwMode="auto">
        <a:xfrm>
          <a:off x="14062364" y="46526819"/>
          <a:ext cx="3414799" cy="212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218</xdr:row>
      <xdr:rowOff>305</xdr:rowOff>
    </xdr:from>
    <xdr:to>
      <xdr:col>12</xdr:col>
      <xdr:colOff>1024890</xdr:colOff>
      <xdr:row>229</xdr:row>
      <xdr:rowOff>26945</xdr:rowOff>
    </xdr:to>
    <xdr:pic>
      <xdr:nvPicPr>
        <xdr:cNvPr id="13" name="Immagine 12" descr="Immagine che contiene diagramma, origami, design&#10;&#10;Descrizione generata automaticamente">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62364" y="48872214"/>
          <a:ext cx="3414799" cy="2589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295431</xdr:colOff>
      <xdr:row>155</xdr:row>
      <xdr:rowOff>33616</xdr:rowOff>
    </xdr:from>
    <xdr:to>
      <xdr:col>8</xdr:col>
      <xdr:colOff>804794</xdr:colOff>
      <xdr:row>165</xdr:row>
      <xdr:rowOff>453326</xdr:rowOff>
    </xdr:to>
    <xdr:pic>
      <xdr:nvPicPr>
        <xdr:cNvPr id="14" name="Immagine 13" descr="Immagine che contiene diagramma, linea, origami, design&#10;&#10;Descrizione generata automaticamente">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784" b="6301"/>
        <a:stretch/>
      </xdr:blipFill>
      <xdr:spPr bwMode="auto">
        <a:xfrm>
          <a:off x="9159284" y="37136292"/>
          <a:ext cx="3389275"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2745443</xdr:colOff>
      <xdr:row>14</xdr:row>
      <xdr:rowOff>0</xdr:rowOff>
    </xdr:from>
    <xdr:to>
      <xdr:col>10</xdr:col>
      <xdr:colOff>880060</xdr:colOff>
      <xdr:row>29</xdr:row>
      <xdr:rowOff>41013</xdr:rowOff>
    </xdr:to>
    <xdr:pic>
      <xdr:nvPicPr>
        <xdr:cNvPr id="5" name="Immagine 4" descr="Immagine che contiene aria aperta, cielo, legno, Asse&#10;&#10;Descrizione generata automaticament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t="12733" b="8184"/>
        <a:stretch/>
      </xdr:blipFill>
      <xdr:spPr>
        <a:xfrm>
          <a:off x="6510619" y="2711824"/>
          <a:ext cx="8388000" cy="3615689"/>
        </a:xfrm>
        <a:prstGeom prst="rect">
          <a:avLst/>
        </a:prstGeom>
      </xdr:spPr>
    </xdr:pic>
    <xdr:clientData/>
  </xdr:twoCellAnchor>
  <xdr:twoCellAnchor editAs="oneCell">
    <xdr:from>
      <xdr:col>4</xdr:col>
      <xdr:colOff>1962781</xdr:colOff>
      <xdr:row>257</xdr:row>
      <xdr:rowOff>61623</xdr:rowOff>
    </xdr:from>
    <xdr:to>
      <xdr:col>10</xdr:col>
      <xdr:colOff>910067</xdr:colOff>
      <xdr:row>267</xdr:row>
      <xdr:rowOff>7405</xdr:rowOff>
    </xdr:to>
    <xdr:pic>
      <xdr:nvPicPr>
        <xdr:cNvPr id="8" name="Immagine 7" descr="Immagine che contiene cerniera&#10;&#10;Descrizione generata automaticament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5759174" y="69689373"/>
          <a:ext cx="9228571" cy="2163026"/>
        </a:xfrm>
        <a:prstGeom prst="rect">
          <a:avLst/>
        </a:prstGeom>
      </xdr:spPr>
    </xdr:pic>
    <xdr:clientData/>
  </xdr:twoCellAnchor>
  <xdr:twoCellAnchor editAs="oneCell">
    <xdr:from>
      <xdr:col>4</xdr:col>
      <xdr:colOff>2068288</xdr:colOff>
      <xdr:row>266</xdr:row>
      <xdr:rowOff>124859</xdr:rowOff>
    </xdr:from>
    <xdr:to>
      <xdr:col>10</xdr:col>
      <xdr:colOff>1173670</xdr:colOff>
      <xdr:row>279</xdr:row>
      <xdr:rowOff>201966</xdr:rowOff>
    </xdr:to>
    <xdr:pic>
      <xdr:nvPicPr>
        <xdr:cNvPr id="15" name="Immagine 14" descr="Immagine che contiene design&#10;&#10;Descrizione generata automaticamente con attendibilità bassa">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5864681" y="59329538"/>
          <a:ext cx="9380952" cy="2971429"/>
        </a:xfrm>
        <a:prstGeom prst="rect">
          <a:avLst/>
        </a:prstGeom>
      </xdr:spPr>
    </xdr:pic>
    <xdr:clientData/>
  </xdr:twoCellAnchor>
  <xdr:twoCellAnchor editAs="oneCell">
    <xdr:from>
      <xdr:col>4</xdr:col>
      <xdr:colOff>0</xdr:colOff>
      <xdr:row>2</xdr:row>
      <xdr:rowOff>0</xdr:rowOff>
    </xdr:from>
    <xdr:to>
      <xdr:col>4</xdr:col>
      <xdr:colOff>1792978</xdr:colOff>
      <xdr:row>4</xdr:row>
      <xdr:rowOff>67461</xdr:rowOff>
    </xdr:to>
    <xdr:pic macro="[0]!Immagine3_Click">
      <xdr:nvPicPr>
        <xdr:cNvPr id="4" name="Immagine 3" descr="Immagine che contiene testo, Carattere, Elementi grafici, logo&#10;&#10;Descrizione generata automaticamente">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7792" t="6154" r="5195" b="34128"/>
        <a:stretch/>
      </xdr:blipFill>
      <xdr:spPr>
        <a:xfrm>
          <a:off x="3765176" y="493059"/>
          <a:ext cx="1792978" cy="549090"/>
        </a:xfrm>
        <a:prstGeom prst="rect">
          <a:avLst/>
        </a:prstGeom>
      </xdr:spPr>
    </xdr:pic>
    <xdr:clientData/>
  </xdr:twoCellAnchor>
  <xdr:twoCellAnchor editAs="oneCell">
    <xdr:from>
      <xdr:col>4</xdr:col>
      <xdr:colOff>0</xdr:colOff>
      <xdr:row>293</xdr:row>
      <xdr:rowOff>190499</xdr:rowOff>
    </xdr:from>
    <xdr:to>
      <xdr:col>13</xdr:col>
      <xdr:colOff>0</xdr:colOff>
      <xdr:row>299</xdr:row>
      <xdr:rowOff>80731</xdr:rowOff>
    </xdr:to>
    <xdr:pic>
      <xdr:nvPicPr>
        <xdr:cNvPr id="16" name="Immagin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389529" y="76300852"/>
          <a:ext cx="13824000" cy="1369413"/>
        </a:xfrm>
        <a:prstGeom prst="rect">
          <a:avLst/>
        </a:prstGeom>
      </xdr:spPr>
    </xdr:pic>
    <xdr:clientData/>
  </xdr:twoCellAnchor>
  <xdr:twoCellAnchor editAs="oneCell">
    <xdr:from>
      <xdr:col>11</xdr:col>
      <xdr:colOff>114149</xdr:colOff>
      <xdr:row>35</xdr:row>
      <xdr:rowOff>168853</xdr:rowOff>
    </xdr:from>
    <xdr:to>
      <xdr:col>11</xdr:col>
      <xdr:colOff>874538</xdr:colOff>
      <xdr:row>39</xdr:row>
      <xdr:rowOff>9358</xdr:rowOff>
    </xdr:to>
    <mc:AlternateContent xmlns:mc="http://schemas.openxmlformats.org/markup-compatibility/2006">
      <mc:Choice xmlns:am3d="http://schemas.microsoft.com/office/drawing/2017/model3d" Requires="am3d">
        <xdr:graphicFrame macro="">
          <xdr:nvGraphicFramePr>
            <xdr:cNvPr id="22" name="Modello 3D 21" descr="Stampante">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9">
                <am3d:spPr>
                  <a:xfrm>
                    <a:off x="0" y="0"/>
                    <a:ext cx="760389" cy="707280"/>
                  </a:xfrm>
                  <a:prstGeom prst="rect">
                    <a:avLst/>
                  </a:prstGeom>
                </am3d:spPr>
                <am3d:camera>
                  <am3d:pos x="0" y="0" z="72661754"/>
                  <am3d:up dx="0" dy="36000000" dz="0"/>
                  <am3d:lookAt x="0" y="0" z="0"/>
                  <am3d:perspective fov="2700000"/>
                </am3d:camera>
                <am3d:trans>
                  <am3d:meterPerModelUnit n="9427949" d="1000000"/>
                  <am3d:preTrans dx="0" dy="-12966183" dz="-2395334"/>
                  <am3d:scale>
                    <am3d:sx n="1000000" d="1000000"/>
                    <am3d:sy n="1000000" d="1000000"/>
                    <am3d:sz n="1000000" d="1000000"/>
                  </am3d:scale>
                  <am3d:rot ax="1240381" ay="-2505698" az="-846399"/>
                  <am3d:postTrans dx="0" dy="0" dz="0"/>
                </am3d:trans>
                <am3d:raster rName="Office3DRenderer" rVer="16.0.8326">
                  <am3d:blip r:embed="rId10"/>
                </am3d:raster>
                <am3d:objViewport viewportSz="886843"/>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2" name="Modello 3D 21" descr="Stampante">
              <a:extLst>
                <a:ext uri="{FF2B5EF4-FFF2-40B4-BE49-F238E27FC236}">
                  <a16:creationId xmlns:a16="http://schemas.microsoft.com/office/drawing/2014/main" id="{00000000-0008-0000-0100-000016000000}"/>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10"/>
            <a:stretch>
              <a:fillRect/>
            </a:stretch>
          </xdr:blipFill>
          <xdr:spPr>
            <a:xfrm>
              <a:off x="12944884" y="7699206"/>
              <a:ext cx="760389" cy="703358"/>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11</xdr:col>
          <xdr:colOff>1162050</xdr:colOff>
          <xdr:row>36</xdr:row>
          <xdr:rowOff>85725</xdr:rowOff>
        </xdr:from>
        <xdr:to>
          <xdr:col>12</xdr:col>
          <xdr:colOff>1066800</xdr:colOff>
          <xdr:row>38</xdr:row>
          <xdr:rowOff>161925</xdr:rowOff>
        </xdr:to>
        <xdr:sp macro="" textlink="">
          <xdr:nvSpPr>
            <xdr:cNvPr id="90650" name="Button 7706" hidden="1">
              <a:extLst>
                <a:ext uri="{63B3BB69-23CF-44E3-9099-C40C66FF867C}">
                  <a14:compatExt spid="_x0000_s90650"/>
                </a:ext>
                <a:ext uri="{FF2B5EF4-FFF2-40B4-BE49-F238E27FC236}">
                  <a16:creationId xmlns:a16="http://schemas.microsoft.com/office/drawing/2014/main" id="{00000000-0008-0000-0100-00001A6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000000"/>
                  </a:solidFill>
                  <a:latin typeface="Verdana"/>
                  <a:ea typeface="Verdana"/>
                </a:rPr>
                <a:t>Print</a:t>
              </a:r>
            </a:p>
          </xdr:txBody>
        </xdr:sp>
        <xdr:clientData fLocksWithSheet="0" fPrintsWithSheet="0"/>
      </xdr:twoCellAnchor>
    </mc:Choice>
    <mc:Fallback/>
  </mc:AlternateContent>
  <xdr:twoCellAnchor editAs="oneCell">
    <xdr:from>
      <xdr:col>10</xdr:col>
      <xdr:colOff>0</xdr:colOff>
      <xdr:row>170</xdr:row>
      <xdr:rowOff>0</xdr:rowOff>
    </xdr:from>
    <xdr:to>
      <xdr:col>12</xdr:col>
      <xdr:colOff>1024890</xdr:colOff>
      <xdr:row>179</xdr:row>
      <xdr:rowOff>226489</xdr:rowOff>
    </xdr:to>
    <xdr:pic>
      <xdr:nvPicPr>
        <xdr:cNvPr id="18" name="Immagine 17" descr="Immagine che contiene diagramma, origami, design&#10;&#10;Descrizione generata automaticamente">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62364" y="38810045"/>
          <a:ext cx="3414799" cy="258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190</xdr:row>
      <xdr:rowOff>0</xdr:rowOff>
    </xdr:from>
    <xdr:to>
      <xdr:col>12</xdr:col>
      <xdr:colOff>1024890</xdr:colOff>
      <xdr:row>201</xdr:row>
      <xdr:rowOff>146474</xdr:rowOff>
    </xdr:to>
    <xdr:pic>
      <xdr:nvPicPr>
        <xdr:cNvPr id="19" name="Immagine 18" descr="Immagine che contiene diagramma, origami, design&#10;&#10;Descrizione generata automaticament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62364" y="43243500"/>
          <a:ext cx="3414799" cy="2588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91167</xdr:colOff>
      <xdr:row>247</xdr:row>
      <xdr:rowOff>35378</xdr:rowOff>
    </xdr:from>
    <xdr:to>
      <xdr:col>10</xdr:col>
      <xdr:colOff>811167</xdr:colOff>
      <xdr:row>247</xdr:row>
      <xdr:rowOff>721320</xdr:rowOff>
    </xdr:to>
    <xdr:pic>
      <xdr:nvPicPr>
        <xdr:cNvPr id="7" name="Immagine 6" descr="Immagine che contiene design, cubo&#10;&#10;Descrizione generata automaticament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a:stretch>
          <a:fillRect/>
        </a:stretch>
      </xdr:blipFill>
      <xdr:spPr>
        <a:xfrm>
          <a:off x="14121492" y="56223353"/>
          <a:ext cx="720000" cy="685942"/>
        </a:xfrm>
        <a:prstGeom prst="rect">
          <a:avLst/>
        </a:prstGeom>
      </xdr:spPr>
    </xdr:pic>
    <xdr:clientData/>
  </xdr:twoCellAnchor>
  <xdr:twoCellAnchor editAs="oneCell">
    <xdr:from>
      <xdr:col>10</xdr:col>
      <xdr:colOff>0</xdr:colOff>
      <xdr:row>54</xdr:row>
      <xdr:rowOff>9525</xdr:rowOff>
    </xdr:from>
    <xdr:to>
      <xdr:col>11</xdr:col>
      <xdr:colOff>914421</xdr:colOff>
      <xdr:row>60</xdr:row>
      <xdr:rowOff>118690</xdr:rowOff>
    </xdr:to>
    <xdr:pic>
      <xdr:nvPicPr>
        <xdr:cNvPr id="3" name="Immagine 2" descr="Immagine che contiene diagramma, linea, origami, design&#10;&#10;Descrizione generata automaticamente">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11" t="9226" r="4649" b="6413"/>
        <a:stretch/>
      </xdr:blipFill>
      <xdr:spPr bwMode="auto">
        <a:xfrm>
          <a:off x="11649075" y="12830175"/>
          <a:ext cx="2105046" cy="166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104891</xdr:colOff>
      <xdr:row>120</xdr:row>
      <xdr:rowOff>32741</xdr:rowOff>
    </xdr:to>
    <xdr:pic>
      <xdr:nvPicPr>
        <xdr:cNvPr id="11" name="onelock" descr="Immagine che contiene schizzo, disegno, diagramma, design&#10;&#10;Descrizione generata automaticamente">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672455" y="25544318"/>
          <a:ext cx="2494800" cy="2699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103</xdr:row>
      <xdr:rowOff>150172</xdr:rowOff>
    </xdr:to>
    <xdr:pic>
      <xdr:nvPicPr>
        <xdr:cNvPr id="20" name="alulock" descr="Immagine che contiene schizzo, Schedario, design&#10;&#10;Descrizione generata automaticamente" hidden="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72455" y="23119773"/>
          <a:ext cx="3045463" cy="1362444"/>
        </a:xfrm>
        <a:prstGeom prst="rect">
          <a:avLst/>
        </a:prstGeom>
      </xdr:spPr>
    </xdr:pic>
    <xdr:clientData/>
  </xdr:twoCellAnchor>
  <xdr:twoCellAnchor editAs="oneCell">
    <xdr:from>
      <xdr:col>11</xdr:col>
      <xdr:colOff>103911</xdr:colOff>
      <xdr:row>80</xdr:row>
      <xdr:rowOff>17318</xdr:rowOff>
    </xdr:from>
    <xdr:to>
      <xdr:col>12</xdr:col>
      <xdr:colOff>993166</xdr:colOff>
      <xdr:row>88</xdr:row>
      <xdr:rowOff>178909</xdr:rowOff>
    </xdr:to>
    <xdr:pic>
      <xdr:nvPicPr>
        <xdr:cNvPr id="21" name="bealock" descr="Immagine che contiene schermata, Rettangolo, design&#10;&#10;Descrizione generata automaticamente">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71320" y="18582409"/>
          <a:ext cx="20842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564574</xdr:colOff>
      <xdr:row>80</xdr:row>
      <xdr:rowOff>0</xdr:rowOff>
    </xdr:from>
    <xdr:to>
      <xdr:col>12</xdr:col>
      <xdr:colOff>441694</xdr:colOff>
      <xdr:row>88</xdr:row>
      <xdr:rowOff>161591</xdr:rowOff>
    </xdr:to>
    <xdr:pic>
      <xdr:nvPicPr>
        <xdr:cNvPr id="23" name="collock" descr="Immagine che contiene Rettangolo, schermata, design&#10;&#10;Descrizione generata automaticamente" hidden="1">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431983" y="18565091"/>
          <a:ext cx="107207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121227</xdr:colOff>
      <xdr:row>88</xdr:row>
      <xdr:rowOff>225136</xdr:rowOff>
    </xdr:from>
    <xdr:to>
      <xdr:col>12</xdr:col>
      <xdr:colOff>1083004</xdr:colOff>
      <xdr:row>93</xdr:row>
      <xdr:rowOff>102177</xdr:rowOff>
    </xdr:to>
    <xdr:pic>
      <xdr:nvPicPr>
        <xdr:cNvPr id="24" name="Immagine 23" descr="Immagine che contiene Rettangolo&#10;&#10;Descrizione generata automaticamente">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88636" y="20608636"/>
          <a:ext cx="2156732"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14624</xdr:rowOff>
    </xdr:to>
    <xdr:pic>
      <xdr:nvPicPr>
        <xdr:cNvPr id="36" name="collock1" descr="Immagine che contiene scatola, design&#10;&#10;Descrizione generata automaticamente" hidden="1">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147550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348717</xdr:rowOff>
    </xdr:to>
    <xdr:pic>
      <xdr:nvPicPr>
        <xdr:cNvPr id="38" name="bealock2" descr="Immagine che contiene design, scatola, contenitore&#10;&#10;Descrizione generata automaticamente" hidden="1">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76</xdr:row>
      <xdr:rowOff>215352</xdr:rowOff>
    </xdr:to>
    <xdr:pic>
      <xdr:nvPicPr>
        <xdr:cNvPr id="39" name="bealockH2" descr="Immagine che contiene Rettangolo, casa, schizzo, design&#10;&#10;Descrizione generata automaticamente" hidden="1">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147550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146927</xdr:rowOff>
    </xdr:to>
    <xdr:pic>
      <xdr:nvPicPr>
        <xdr:cNvPr id="40" name="incllock" descr="Immagine che contiene Parallelo, linea, cerchio, design&#10;&#10;Descrizione generata automaticamente" hidden="1">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147550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146855</xdr:rowOff>
    </xdr:to>
    <xdr:pic>
      <xdr:nvPicPr>
        <xdr:cNvPr id="41" name="stoplock" descr="Immagine che contiene linea, cerchio, Parallelo, design&#10;&#10;Descrizione generata automaticamente" hidden="1">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147550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228852</xdr:rowOff>
    </xdr:to>
    <xdr:pic>
      <xdr:nvPicPr>
        <xdr:cNvPr id="42" name="collock2" descr="Immagine che contiene design&#10;&#10;Descrizione generata automaticamente" hidden="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147550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348716</xdr:rowOff>
    </xdr:to>
    <xdr:pic>
      <xdr:nvPicPr>
        <xdr:cNvPr id="45" name="bealock3" descr="Immagine che contiene design, scatola, contenitore&#10;&#10;Descrizione generata automaticamente" hidden="1">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317449</xdr:rowOff>
    </xdr:to>
    <xdr:pic>
      <xdr:nvPicPr>
        <xdr:cNvPr id="47" name="bealock1" descr="Immagine che contiene Rettangolo, design, scatola&#10;&#10;Descrizione generata automaticamente" hidden="1">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147550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76185</xdr:rowOff>
    </xdr:to>
    <xdr:pic>
      <xdr:nvPicPr>
        <xdr:cNvPr id="48" name="bealockH1" descr="Immagine che contiene casa, schizzo, Rettangolo, design&#10;&#10;Descrizione generata automaticamente">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147550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204355</xdr:colOff>
      <xdr:row>63</xdr:row>
      <xdr:rowOff>0</xdr:rowOff>
    </xdr:from>
    <xdr:to>
      <xdr:col>13</xdr:col>
      <xdr:colOff>11673</xdr:colOff>
      <xdr:row>77</xdr:row>
      <xdr:rowOff>331304</xdr:rowOff>
    </xdr:to>
    <xdr:pic>
      <xdr:nvPicPr>
        <xdr:cNvPr id="54" name="bealock4" descr="Immagine che contiene Rettangolo, design, scatola&#10;&#10;Descrizione generata automaticamente" hidden="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68991" y="147550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105130</xdr:colOff>
      <xdr:row>120</xdr:row>
      <xdr:rowOff>33000</xdr:rowOff>
    </xdr:to>
    <xdr:pic>
      <xdr:nvPicPr>
        <xdr:cNvPr id="55" name="twolock" descr="Immagine che contiene schizzo, disegno, diagramma, Disegno tecnico&#10;&#10;Descrizione generata automaticamente" hidden="1">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672455" y="25544318"/>
          <a:ext cx="2495039" cy="27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102</xdr:row>
      <xdr:rowOff>187192</xdr:rowOff>
    </xdr:to>
    <xdr:pic>
      <xdr:nvPicPr>
        <xdr:cNvPr id="56" name="coatlock" descr="Immagine che contiene cerniera&#10;&#10;Descrizione generata automaticamente">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8"/>
        <a:stretch>
          <a:fillRect/>
        </a:stretch>
      </xdr:blipFill>
      <xdr:spPr>
        <a:xfrm>
          <a:off x="11672455" y="23119773"/>
          <a:ext cx="3045463" cy="1157010"/>
        </a:xfrm>
        <a:prstGeom prst="rect">
          <a:avLst/>
        </a:prstGeom>
      </xdr:spPr>
    </xdr:pic>
    <xdr:clientData/>
  </xdr:twoCellAnchor>
  <xdr:twoCellAnchor editAs="oneCell">
    <xdr:from>
      <xdr:col>10</xdr:col>
      <xdr:colOff>0</xdr:colOff>
      <xdr:row>126</xdr:row>
      <xdr:rowOff>0</xdr:rowOff>
    </xdr:from>
    <xdr:to>
      <xdr:col>13</xdr:col>
      <xdr:colOff>15137</xdr:colOff>
      <xdr:row>141</xdr:row>
      <xdr:rowOff>110821</xdr:rowOff>
    </xdr:to>
    <xdr:pic>
      <xdr:nvPicPr>
        <xdr:cNvPr id="226372" name="bealockH1_1" descr="Immagine che contiene casa, schizzo, Rettangolo, design&#10;&#10;Descrizione generata automaticamente">
          <a:extLst>
            <a:ext uri="{FF2B5EF4-FFF2-40B4-BE49-F238E27FC236}">
              <a16:creationId xmlns:a16="http://schemas.microsoft.com/office/drawing/2014/main" id="{00000000-0008-0000-0100-00004474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294235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109631</xdr:rowOff>
    </xdr:to>
    <xdr:pic>
      <xdr:nvPicPr>
        <xdr:cNvPr id="226373" name="bealock1_1" descr="Immagine che contiene Rettangolo, design, scatola&#10;&#10;Descrizione generata automaticamente" hidden="1">
          <a:extLst>
            <a:ext uri="{FF2B5EF4-FFF2-40B4-BE49-F238E27FC236}">
              <a16:creationId xmlns:a16="http://schemas.microsoft.com/office/drawing/2014/main" id="{00000000-0008-0000-0100-000045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198881</xdr:rowOff>
    </xdr:to>
    <xdr:pic>
      <xdr:nvPicPr>
        <xdr:cNvPr id="226374" name="incllock_1" descr="Immagine che contiene Parallelo, linea, cerchio, design&#10;&#10;Descrizione generata automaticamente" hidden="1">
          <a:extLst>
            <a:ext uri="{FF2B5EF4-FFF2-40B4-BE49-F238E27FC236}">
              <a16:creationId xmlns:a16="http://schemas.microsoft.com/office/drawing/2014/main" id="{00000000-0008-0000-0100-00004674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294235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198809</xdr:rowOff>
    </xdr:to>
    <xdr:pic>
      <xdr:nvPicPr>
        <xdr:cNvPr id="226375" name="stoplock_1" descr="Immagine che contiene linea, cerchio, Parallelo, design&#10;&#10;Descrizione generata automaticamente" hidden="1">
          <a:extLst>
            <a:ext uri="{FF2B5EF4-FFF2-40B4-BE49-F238E27FC236}">
              <a16:creationId xmlns:a16="http://schemas.microsoft.com/office/drawing/2014/main" id="{00000000-0008-0000-0100-00004774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294235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19670</xdr:rowOff>
    </xdr:to>
    <xdr:pic>
      <xdr:nvPicPr>
        <xdr:cNvPr id="226376" name="bealock3_1" descr="Immagine che contiene design, scatola, contenitore&#10;&#10;Descrizione generata automaticamente" hidden="1">
          <a:extLst>
            <a:ext uri="{FF2B5EF4-FFF2-40B4-BE49-F238E27FC236}">
              <a16:creationId xmlns:a16="http://schemas.microsoft.com/office/drawing/2014/main" id="{00000000-0008-0000-0100-000048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66578</xdr:rowOff>
    </xdr:to>
    <xdr:pic>
      <xdr:nvPicPr>
        <xdr:cNvPr id="226377" name="collock1_1" descr="Immagine che contiene scatola, design&#10;&#10;Descrizione generata automaticamente" hidden="1">
          <a:extLst>
            <a:ext uri="{FF2B5EF4-FFF2-40B4-BE49-F238E27FC236}">
              <a16:creationId xmlns:a16="http://schemas.microsoft.com/office/drawing/2014/main" id="{00000000-0008-0000-0100-00004974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294235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19671</xdr:rowOff>
    </xdr:to>
    <xdr:pic>
      <xdr:nvPicPr>
        <xdr:cNvPr id="226378" name="bealock2_1" descr="Immagine che contiene design, scatola, contenitore&#10;&#10;Descrizione generata automaticamente" hidden="1">
          <a:extLst>
            <a:ext uri="{FF2B5EF4-FFF2-40B4-BE49-F238E27FC236}">
              <a16:creationId xmlns:a16="http://schemas.microsoft.com/office/drawing/2014/main" id="{00000000-0008-0000-0100-00004A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140</xdr:row>
      <xdr:rowOff>111443</xdr:rowOff>
    </xdr:to>
    <xdr:pic>
      <xdr:nvPicPr>
        <xdr:cNvPr id="226379" name="bealockH2_1" descr="Immagine che contiene Rettangolo, casa, schizzo, design&#10;&#10;Descrizione generata automaticamente" hidden="1">
          <a:extLst>
            <a:ext uri="{FF2B5EF4-FFF2-40B4-BE49-F238E27FC236}">
              <a16:creationId xmlns:a16="http://schemas.microsoft.com/office/drawing/2014/main" id="{00000000-0008-0000-0100-00004B74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294235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21034</xdr:rowOff>
    </xdr:to>
    <xdr:pic>
      <xdr:nvPicPr>
        <xdr:cNvPr id="226380" name="collock2_1" descr="Immagine che contiene design&#10;&#10;Descrizione generata automaticamente" hidden="1">
          <a:extLst>
            <a:ext uri="{FF2B5EF4-FFF2-40B4-BE49-F238E27FC236}">
              <a16:creationId xmlns:a16="http://schemas.microsoft.com/office/drawing/2014/main" id="{00000000-0008-0000-0100-00004C74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294235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2258</xdr:rowOff>
    </xdr:to>
    <xdr:pic>
      <xdr:nvPicPr>
        <xdr:cNvPr id="226381" name="bealock4_1" descr="Immagine che contiene Rettangolo, design, scatola&#10;&#10;Descrizione generata automaticamente" hidden="1">
          <a:extLst>
            <a:ext uri="{FF2B5EF4-FFF2-40B4-BE49-F238E27FC236}">
              <a16:creationId xmlns:a16="http://schemas.microsoft.com/office/drawing/2014/main" id="{00000000-0008-0000-0100-00004D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380998</xdr:colOff>
      <xdr:row>235</xdr:row>
      <xdr:rowOff>0</xdr:rowOff>
    </xdr:from>
    <xdr:to>
      <xdr:col>12</xdr:col>
      <xdr:colOff>1179017</xdr:colOff>
      <xdr:row>239</xdr:row>
      <xdr:rowOff>156823</xdr:rowOff>
    </xdr:to>
    <xdr:pic>
      <xdr:nvPicPr>
        <xdr:cNvPr id="30" name="combo0" hidden="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783534" y="539523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184521</xdr:rowOff>
    </xdr:to>
    <xdr:pic>
      <xdr:nvPicPr>
        <xdr:cNvPr id="31" name="comboAC" descr="Immagine che contiene Carattere, bianco, schizzo, testo&#10;&#10;Descrizione generata automaticamente">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725025" y="54435375"/>
          <a:ext cx="5478876" cy="105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1173730</xdr:colOff>
      <xdr:row>239</xdr:row>
      <xdr:rowOff>124649</xdr:rowOff>
    </xdr:to>
    <xdr:pic>
      <xdr:nvPicPr>
        <xdr:cNvPr id="32" name="comboACD" descr="Immagine che contiene testo, Carattere, calligrafia, bianco&#10;&#10;Descrizione generata automaticamente" hidden="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725025" y="54435375"/>
          <a:ext cx="5479030" cy="991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105600</xdr:rowOff>
    </xdr:to>
    <xdr:pic>
      <xdr:nvPicPr>
        <xdr:cNvPr id="33" name="comboAD" descr="Immagine che contiene testo, Carattere, calligrafia, bianco&#10;&#10;Descrizione generata automaticamente" hidden="1">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725025" y="54435375"/>
          <a:ext cx="5478876" cy="9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105598</xdr:rowOff>
    </xdr:to>
    <xdr:pic>
      <xdr:nvPicPr>
        <xdr:cNvPr id="34" name="comboBC" descr="Immagine che contiene testo, Carattere, diagramma, bianco&#10;&#10;Descrizione generata automaticamente" hidden="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725025" y="54435375"/>
          <a:ext cx="5474415"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96075</xdr:rowOff>
    </xdr:to>
    <xdr:pic>
      <xdr:nvPicPr>
        <xdr:cNvPr id="35" name="comboBCD" descr="Immagine che contiene testo, Carattere, calligrafia, diagramma&#10;&#10;Descrizione generata automaticamente" hidden="1">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725025" y="54435375"/>
          <a:ext cx="5474415" cy="9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1164051</xdr:colOff>
      <xdr:row>239</xdr:row>
      <xdr:rowOff>105598</xdr:rowOff>
    </xdr:to>
    <xdr:pic>
      <xdr:nvPicPr>
        <xdr:cNvPr id="37" name="comboBD" descr="Immagine che contiene testo, Carattere, bianco, diagramma&#10;&#10;Descrizione generata automaticamente" hidden="1">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1" r="1122"/>
        <a:stretch/>
      </xdr:blipFill>
      <xdr:spPr bwMode="auto">
        <a:xfrm>
          <a:off x="9715500" y="54435375"/>
          <a:ext cx="5478876"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1159590</xdr:colOff>
      <xdr:row>239</xdr:row>
      <xdr:rowOff>124650</xdr:rowOff>
    </xdr:to>
    <xdr:pic>
      <xdr:nvPicPr>
        <xdr:cNvPr id="43" name="comboCD" descr="Immagine che contiene testo, Carattere, diagramma, bianco&#10;&#10;Descrizione generata automaticamente" hidden="1">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715500" y="54435375"/>
          <a:ext cx="5474415" cy="9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44905</xdr:rowOff>
    </xdr:from>
    <xdr:to>
      <xdr:col>11</xdr:col>
      <xdr:colOff>951525</xdr:colOff>
      <xdr:row>34</xdr:row>
      <xdr:rowOff>194542</xdr:rowOff>
    </xdr:to>
    <xdr:pic>
      <xdr:nvPicPr>
        <xdr:cNvPr id="6" name="inghilterra" descr="Immagine che contiene simbolo, testo, Simmetria, linea&#10;&#10;Descrizione generata automaticament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3154025" y="7112455"/>
          <a:ext cx="637200" cy="397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29936</xdr:rowOff>
    </xdr:from>
    <xdr:to>
      <xdr:col>11</xdr:col>
      <xdr:colOff>950836</xdr:colOff>
      <xdr:row>34</xdr:row>
      <xdr:rowOff>214286</xdr:rowOff>
    </xdr:to>
    <xdr:pic>
      <xdr:nvPicPr>
        <xdr:cNvPr id="12" name="francia" descr="Immagine che contiene bandiera, Rettangolo, blu, rosso&#10;&#10;Descrizione generata automaticamente" hidden="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3163550" y="7097486"/>
          <a:ext cx="626986"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27213</xdr:rowOff>
    </xdr:from>
    <xdr:to>
      <xdr:col>11</xdr:col>
      <xdr:colOff>952047</xdr:colOff>
      <xdr:row>34</xdr:row>
      <xdr:rowOff>211563</xdr:rowOff>
    </xdr:to>
    <xdr:pic>
      <xdr:nvPicPr>
        <xdr:cNvPr id="17" name="spagna" descr="Immagine che contiene testo, bandiera, simbolo, logo&#10;&#10;Descrizione generata automaticamente" hidden="1">
          <a:extLst>
            <a:ext uri="{FF2B5EF4-FFF2-40B4-BE49-F238E27FC236}">
              <a16:creationId xmlns:a16="http://schemas.microsoft.com/office/drawing/2014/main" id="{00000000-0008-0000-0100-000011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16639" b="16647"/>
        <a:stretch/>
      </xdr:blipFill>
      <xdr:spPr bwMode="auto">
        <a:xfrm>
          <a:off x="13163550" y="7094763"/>
          <a:ext cx="62819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24492</xdr:rowOff>
    </xdr:from>
    <xdr:to>
      <xdr:col>11</xdr:col>
      <xdr:colOff>950999</xdr:colOff>
      <xdr:row>34</xdr:row>
      <xdr:rowOff>208842</xdr:rowOff>
    </xdr:to>
    <xdr:pic>
      <xdr:nvPicPr>
        <xdr:cNvPr id="25" name="portogallo" descr="Immagine che contiene bandiera, simbolo, logo, Elementi grafici&#10;&#10;Descrizione generata automaticamente" hidden="1">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3163550" y="7092042"/>
          <a:ext cx="627149"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342901</xdr:colOff>
      <xdr:row>33</xdr:row>
      <xdr:rowOff>32656</xdr:rowOff>
    </xdr:from>
    <xdr:to>
      <xdr:col>11</xdr:col>
      <xdr:colOff>932368</xdr:colOff>
      <xdr:row>34</xdr:row>
      <xdr:rowOff>217006</xdr:rowOff>
    </xdr:to>
    <xdr:pic>
      <xdr:nvPicPr>
        <xdr:cNvPr id="26" name="germania" descr="Immagine che contiene rosso, giallo, arancione, Policromia&#10;&#10;Descrizione generata automaticamente" hidden="1">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3182601" y="7100206"/>
          <a:ext cx="58946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38100</xdr:rowOff>
    </xdr:from>
    <xdr:to>
      <xdr:col>11</xdr:col>
      <xdr:colOff>951578</xdr:colOff>
      <xdr:row>34</xdr:row>
      <xdr:rowOff>222450</xdr:rowOff>
    </xdr:to>
    <xdr:pic>
      <xdr:nvPicPr>
        <xdr:cNvPr id="49" name="italia" descr="Immagine che contiene verde, rosso, bandiera, Rettangolo&#10;&#10;Descrizione generata automaticamente" hidden="1">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154025" y="7105650"/>
          <a:ext cx="63725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7</xdr:col>
      <xdr:colOff>17951</xdr:colOff>
      <xdr:row>42</xdr:row>
      <xdr:rowOff>3547</xdr:rowOff>
    </xdr:to>
    <xdr:pic>
      <xdr:nvPicPr>
        <xdr:cNvPr id="16" name="Immagin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0" y="58518136"/>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38</xdr:row>
      <xdr:rowOff>0</xdr:rowOff>
    </xdr:from>
    <xdr:to>
      <xdr:col>7</xdr:col>
      <xdr:colOff>22566</xdr:colOff>
      <xdr:row>39</xdr:row>
      <xdr:rowOff>3546</xdr:rowOff>
    </xdr:to>
    <xdr:pic>
      <xdr:nvPicPr>
        <xdr:cNvPr id="17" name="Immagin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7011455"/>
          <a:ext cx="5477793"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37</xdr:row>
      <xdr:rowOff>0</xdr:rowOff>
    </xdr:from>
    <xdr:to>
      <xdr:col>7</xdr:col>
      <xdr:colOff>22412</xdr:colOff>
      <xdr:row>38</xdr:row>
      <xdr:rowOff>3545</xdr:rowOff>
    </xdr:to>
    <xdr:pic>
      <xdr:nvPicPr>
        <xdr:cNvPr id="19" name="Immagine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99676" y="57060353"/>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39</xdr:row>
      <xdr:rowOff>0</xdr:rowOff>
    </xdr:from>
    <xdr:to>
      <xdr:col>7</xdr:col>
      <xdr:colOff>22412</xdr:colOff>
      <xdr:row>40</xdr:row>
      <xdr:rowOff>3546</xdr:rowOff>
    </xdr:to>
    <xdr:pic>
      <xdr:nvPicPr>
        <xdr:cNvPr id="20" name="Immagin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99676" y="59077412"/>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7</xdr:col>
      <xdr:colOff>17951</xdr:colOff>
      <xdr:row>41</xdr:row>
      <xdr:rowOff>3544</xdr:rowOff>
    </xdr:to>
    <xdr:pic>
      <xdr:nvPicPr>
        <xdr:cNvPr id="21" name="Immagine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60024818"/>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43</xdr:row>
      <xdr:rowOff>0</xdr:rowOff>
    </xdr:from>
    <xdr:to>
      <xdr:col>7</xdr:col>
      <xdr:colOff>17951</xdr:colOff>
      <xdr:row>44</xdr:row>
      <xdr:rowOff>3547</xdr:rowOff>
    </xdr:to>
    <xdr:pic>
      <xdr:nvPicPr>
        <xdr:cNvPr id="22" name="Immagine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4500" y="63038182"/>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0</xdr:rowOff>
    </xdr:from>
    <xdr:to>
      <xdr:col>7</xdr:col>
      <xdr:colOff>22412</xdr:colOff>
      <xdr:row>43</xdr:row>
      <xdr:rowOff>3544</xdr:rowOff>
    </xdr:to>
    <xdr:pic>
      <xdr:nvPicPr>
        <xdr:cNvPr id="24" name="Immagine 23">
          <a:extLst>
            <a:ext uri="{FF2B5EF4-FFF2-40B4-BE49-F238E27FC236}">
              <a16:creationId xmlns:a16="http://schemas.microsoft.com/office/drawing/2014/main" id="{00000000-0008-0000-0400-000018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r="1122"/>
        <a:stretch/>
      </xdr:blipFill>
      <xdr:spPr bwMode="auto">
        <a:xfrm>
          <a:off x="13099676" y="62103000"/>
          <a:ext cx="5479677" cy="101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44</xdr:row>
      <xdr:rowOff>0</xdr:rowOff>
    </xdr:from>
    <xdr:to>
      <xdr:col>7</xdr:col>
      <xdr:colOff>22412</xdr:colOff>
      <xdr:row>45</xdr:row>
      <xdr:rowOff>7144</xdr:rowOff>
    </xdr:to>
    <xdr:pic>
      <xdr:nvPicPr>
        <xdr:cNvPr id="31" name="Immagine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99676" y="64120059"/>
          <a:ext cx="5479677" cy="101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33</xdr:row>
      <xdr:rowOff>0</xdr:rowOff>
    </xdr:from>
    <xdr:to>
      <xdr:col>7</xdr:col>
      <xdr:colOff>22412</xdr:colOff>
      <xdr:row>34</xdr:row>
      <xdr:rowOff>7144</xdr:rowOff>
    </xdr:to>
    <xdr:pic>
      <xdr:nvPicPr>
        <xdr:cNvPr id="5" name="Immagin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45238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34</xdr:row>
      <xdr:rowOff>0</xdr:rowOff>
    </xdr:from>
    <xdr:to>
      <xdr:col>7</xdr:col>
      <xdr:colOff>22412</xdr:colOff>
      <xdr:row>35</xdr:row>
      <xdr:rowOff>7145</xdr:rowOff>
    </xdr:to>
    <xdr:pic>
      <xdr:nvPicPr>
        <xdr:cNvPr id="6" name="Immagin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5530750"/>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35</xdr:row>
      <xdr:rowOff>0</xdr:rowOff>
    </xdr:from>
    <xdr:to>
      <xdr:col>7</xdr:col>
      <xdr:colOff>22412</xdr:colOff>
      <xdr:row>36</xdr:row>
      <xdr:rowOff>7144</xdr:rowOff>
    </xdr:to>
    <xdr:pic>
      <xdr:nvPicPr>
        <xdr:cNvPr id="7" name="Immagin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6537679"/>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36</xdr:row>
      <xdr:rowOff>0</xdr:rowOff>
    </xdr:from>
    <xdr:to>
      <xdr:col>7</xdr:col>
      <xdr:colOff>22412</xdr:colOff>
      <xdr:row>37</xdr:row>
      <xdr:rowOff>7145</xdr:rowOff>
    </xdr:to>
    <xdr:pic>
      <xdr:nvPicPr>
        <xdr:cNvPr id="9" name="Immagin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7544607"/>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28575</xdr:colOff>
      <xdr:row>9</xdr:row>
      <xdr:rowOff>28575</xdr:rowOff>
    </xdr:from>
    <xdr:to>
      <xdr:col>12</xdr:col>
      <xdr:colOff>604575</xdr:colOff>
      <xdr:row>9</xdr:row>
      <xdr:rowOff>387705</xdr:rowOff>
    </xdr:to>
    <xdr:pic>
      <xdr:nvPicPr>
        <xdr:cNvPr id="9" name="Immagine 8" descr="Visualizza immagine di origin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975" y="1943100"/>
          <a:ext cx="576000" cy="3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8</xdr:row>
      <xdr:rowOff>28575</xdr:rowOff>
    </xdr:from>
    <xdr:to>
      <xdr:col>12</xdr:col>
      <xdr:colOff>604575</xdr:colOff>
      <xdr:row>8</xdr:row>
      <xdr:rowOff>419051</xdr:rowOff>
    </xdr:to>
    <xdr:pic>
      <xdr:nvPicPr>
        <xdr:cNvPr id="10" name="Immagine 9" descr="Visualizza immagine di origin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5975" y="1504950"/>
          <a:ext cx="576000" cy="39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11</xdr:row>
      <xdr:rowOff>19050</xdr:rowOff>
    </xdr:from>
    <xdr:to>
      <xdr:col>12</xdr:col>
      <xdr:colOff>604575</xdr:colOff>
      <xdr:row>11</xdr:row>
      <xdr:rowOff>415920</xdr:rowOff>
    </xdr:to>
    <xdr:pic>
      <xdr:nvPicPr>
        <xdr:cNvPr id="11" name="Immagine 10" descr="Visualizza immagine di origine">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5" y="2809875"/>
          <a:ext cx="576000" cy="396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12</xdr:row>
      <xdr:rowOff>28575</xdr:rowOff>
    </xdr:from>
    <xdr:to>
      <xdr:col>12</xdr:col>
      <xdr:colOff>604575</xdr:colOff>
      <xdr:row>12</xdr:row>
      <xdr:rowOff>424680</xdr:rowOff>
    </xdr:to>
    <xdr:pic>
      <xdr:nvPicPr>
        <xdr:cNvPr id="12" name="Immagine 11" descr="Visualizza immagine di origine">
          <a:extLst>
            <a:ext uri="{FF2B5EF4-FFF2-40B4-BE49-F238E27FC236}">
              <a16:creationId xmlns:a16="http://schemas.microsoft.com/office/drawing/2014/main" id="{00000000-0008-0000-05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639" b="16647"/>
        <a:stretch/>
      </xdr:blipFill>
      <xdr:spPr bwMode="auto">
        <a:xfrm>
          <a:off x="2085975" y="3257550"/>
          <a:ext cx="576000" cy="39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13</xdr:row>
      <xdr:rowOff>19050</xdr:rowOff>
    </xdr:from>
    <xdr:to>
      <xdr:col>12</xdr:col>
      <xdr:colOff>604575</xdr:colOff>
      <xdr:row>13</xdr:row>
      <xdr:rowOff>415817</xdr:rowOff>
    </xdr:to>
    <xdr:pic>
      <xdr:nvPicPr>
        <xdr:cNvPr id="13" name="Immagine 12" descr="Visualizza immagine di origine">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85975" y="3686175"/>
          <a:ext cx="576000" cy="39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10</xdr:row>
      <xdr:rowOff>9525</xdr:rowOff>
    </xdr:from>
    <xdr:to>
      <xdr:col>12</xdr:col>
      <xdr:colOff>604575</xdr:colOff>
      <xdr:row>10</xdr:row>
      <xdr:rowOff>431656</xdr:rowOff>
    </xdr:to>
    <xdr:pic>
      <xdr:nvPicPr>
        <xdr:cNvPr id="14" name="Immagine 13" descr="Visualizza immagine di origine">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5975" y="2362200"/>
          <a:ext cx="576000" cy="422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21</xdr:row>
      <xdr:rowOff>134972</xdr:rowOff>
    </xdr:to>
    <xdr:pic>
      <xdr:nvPicPr>
        <xdr:cNvPr id="2" name="Immagin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695993" y="3633107"/>
          <a:ext cx="8581871" cy="18277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22</xdr:row>
      <xdr:rowOff>12508</xdr:rowOff>
    </xdr:to>
    <xdr:pic>
      <xdr:nvPicPr>
        <xdr:cNvPr id="2" name="Immagin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481000" y="3429000"/>
          <a:ext cx="8649907" cy="18766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38</xdr:col>
      <xdr:colOff>9897</xdr:colOff>
      <xdr:row>8</xdr:row>
      <xdr:rowOff>121228</xdr:rowOff>
    </xdr:from>
    <xdr:to>
      <xdr:col>45</xdr:col>
      <xdr:colOff>1070130</xdr:colOff>
      <xdr:row>24</xdr:row>
      <xdr:rowOff>148128</xdr:rowOff>
    </xdr:to>
    <xdr:pic>
      <xdr:nvPicPr>
        <xdr:cNvPr id="2" name="Immagin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4594306" y="3117273"/>
          <a:ext cx="7527535" cy="2760303"/>
        </a:xfrm>
        <a:prstGeom prst="rect">
          <a:avLst/>
        </a:prstGeom>
      </xdr:spPr>
    </xdr:pic>
    <xdr:clientData/>
  </xdr:twoCellAnchor>
  <xdr:twoCellAnchor editAs="oneCell">
    <xdr:from>
      <xdr:col>33</xdr:col>
      <xdr:colOff>625928</xdr:colOff>
      <xdr:row>32</xdr:row>
      <xdr:rowOff>326573</xdr:rowOff>
    </xdr:from>
    <xdr:to>
      <xdr:col>43</xdr:col>
      <xdr:colOff>42690</xdr:colOff>
      <xdr:row>40</xdr:row>
      <xdr:rowOff>116433</xdr:rowOff>
    </xdr:to>
    <xdr:pic>
      <xdr:nvPicPr>
        <xdr:cNvPr id="4" name="Immagin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28697464" y="8722180"/>
          <a:ext cx="9000000" cy="1861348"/>
        </a:xfrm>
        <a:prstGeom prst="rect">
          <a:avLst/>
        </a:prstGeom>
      </xdr:spPr>
    </xdr:pic>
    <xdr:clientData/>
  </xdr:twoCellAnchor>
  <xdr:twoCellAnchor editAs="oneCell">
    <xdr:from>
      <xdr:col>43</xdr:col>
      <xdr:colOff>381000</xdr:colOff>
      <xdr:row>32</xdr:row>
      <xdr:rowOff>625928</xdr:rowOff>
    </xdr:from>
    <xdr:to>
      <xdr:col>48</xdr:col>
      <xdr:colOff>499654</xdr:colOff>
      <xdr:row>71</xdr:row>
      <xdr:rowOff>115273</xdr:rowOff>
    </xdr:to>
    <xdr:pic>
      <xdr:nvPicPr>
        <xdr:cNvPr id="3" name="Immagin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38031964" y="9021535"/>
          <a:ext cx="6109608" cy="6636298"/>
        </a:xfrm>
        <a:prstGeom prst="rect">
          <a:avLst/>
        </a:prstGeom>
      </xdr:spPr>
    </xdr:pic>
    <xdr:clientData/>
  </xdr:twoCellAnchor>
  <xdr:twoCellAnchor editAs="oneCell">
    <xdr:from>
      <xdr:col>33</xdr:col>
      <xdr:colOff>1251857</xdr:colOff>
      <xdr:row>45</xdr:row>
      <xdr:rowOff>81642</xdr:rowOff>
    </xdr:from>
    <xdr:to>
      <xdr:col>43</xdr:col>
      <xdr:colOff>187061</xdr:colOff>
      <xdr:row>65</xdr:row>
      <xdr:rowOff>4127</xdr:rowOff>
    </xdr:to>
    <xdr:pic>
      <xdr:nvPicPr>
        <xdr:cNvPr id="5" name="Immagin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9323393" y="11089821"/>
          <a:ext cx="8507012" cy="3181794"/>
        </a:xfrm>
        <a:prstGeom prst="rect">
          <a:avLst/>
        </a:prstGeom>
      </xdr:spPr>
    </xdr:pic>
    <xdr:clientData/>
  </xdr:twoCellAnchor>
  <xdr:twoCellAnchor editAs="oneCell">
    <xdr:from>
      <xdr:col>39</xdr:col>
      <xdr:colOff>207818</xdr:colOff>
      <xdr:row>86</xdr:row>
      <xdr:rowOff>95250</xdr:rowOff>
    </xdr:from>
    <xdr:to>
      <xdr:col>48</xdr:col>
      <xdr:colOff>185776</xdr:colOff>
      <xdr:row>96</xdr:row>
      <xdr:rowOff>149518</xdr:rowOff>
    </xdr:to>
    <xdr:pic>
      <xdr:nvPicPr>
        <xdr:cNvPr id="6" name="Immagin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5654425" y="20723679"/>
          <a:ext cx="9228910" cy="1924433"/>
        </a:xfrm>
        <a:prstGeom prst="rect">
          <a:avLst/>
        </a:prstGeom>
      </xdr:spPr>
    </xdr:pic>
    <xdr:clientData/>
  </xdr:twoCellAnchor>
  <xdr:twoCellAnchor editAs="oneCell">
    <xdr:from>
      <xdr:col>40</xdr:col>
      <xdr:colOff>65562</xdr:colOff>
      <xdr:row>110</xdr:row>
      <xdr:rowOff>13607</xdr:rowOff>
    </xdr:from>
    <xdr:to>
      <xdr:col>48</xdr:col>
      <xdr:colOff>1108003</xdr:colOff>
      <xdr:row>122</xdr:row>
      <xdr:rowOff>80186</xdr:rowOff>
    </xdr:to>
    <xdr:pic>
      <xdr:nvPicPr>
        <xdr:cNvPr id="7" name="Immagin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36328598" y="26574750"/>
          <a:ext cx="9486489" cy="2249437"/>
        </a:xfrm>
        <a:prstGeom prst="rect">
          <a:avLst/>
        </a:prstGeom>
      </xdr:spPr>
    </xdr:pic>
    <xdr:clientData/>
  </xdr:twoCellAnchor>
  <xdr:twoCellAnchor editAs="oneCell">
    <xdr:from>
      <xdr:col>48</xdr:col>
      <xdr:colOff>653144</xdr:colOff>
      <xdr:row>33</xdr:row>
      <xdr:rowOff>108857</xdr:rowOff>
    </xdr:from>
    <xdr:to>
      <xdr:col>52</xdr:col>
      <xdr:colOff>1101004</xdr:colOff>
      <xdr:row>40</xdr:row>
      <xdr:rowOff>110689</xdr:rowOff>
    </xdr:to>
    <xdr:pic>
      <xdr:nvPicPr>
        <xdr:cNvPr id="8" name="Immagin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45352608" y="9225643"/>
          <a:ext cx="5229955" cy="1428949"/>
        </a:xfrm>
        <a:prstGeom prst="rect">
          <a:avLst/>
        </a:prstGeom>
      </xdr:spPr>
    </xdr:pic>
    <xdr:clientData/>
  </xdr:twoCellAnchor>
  <xdr:twoCellAnchor editAs="oneCell">
    <xdr:from>
      <xdr:col>50</xdr:col>
      <xdr:colOff>993321</xdr:colOff>
      <xdr:row>86</xdr:row>
      <xdr:rowOff>81642</xdr:rowOff>
    </xdr:from>
    <xdr:to>
      <xdr:col>57</xdr:col>
      <xdr:colOff>651237</xdr:colOff>
      <xdr:row>98</xdr:row>
      <xdr:rowOff>34024</xdr:rowOff>
    </xdr:to>
    <xdr:pic>
      <xdr:nvPicPr>
        <xdr:cNvPr id="11" name="Immagin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48087642" y="19743963"/>
          <a:ext cx="8041821" cy="21529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1170215</xdr:colOff>
      <xdr:row>10</xdr:row>
      <xdr:rowOff>1</xdr:rowOff>
    </xdr:from>
    <xdr:to>
      <xdr:col>52</xdr:col>
      <xdr:colOff>333068</xdr:colOff>
      <xdr:row>21</xdr:row>
      <xdr:rowOff>104437</xdr:rowOff>
    </xdr:to>
    <xdr:pic>
      <xdr:nvPicPr>
        <xdr:cNvPr id="2" name="Immagin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2214306" y="3758046"/>
          <a:ext cx="7527535" cy="2782569"/>
        </a:xfrm>
        <a:prstGeom prst="rect">
          <a:avLst/>
        </a:prstGeom>
      </xdr:spPr>
    </xdr:pic>
    <xdr:clientData/>
  </xdr:twoCellAnchor>
  <xdr:twoCellAnchor editAs="oneCell">
    <xdr:from>
      <xdr:col>33</xdr:col>
      <xdr:colOff>625928</xdr:colOff>
      <xdr:row>32</xdr:row>
      <xdr:rowOff>326573</xdr:rowOff>
    </xdr:from>
    <xdr:to>
      <xdr:col>43</xdr:col>
      <xdr:colOff>46500</xdr:colOff>
      <xdr:row>38</xdr:row>
      <xdr:rowOff>47161</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9591453" y="9413423"/>
          <a:ext cx="8945572" cy="1885360"/>
        </a:xfrm>
        <a:prstGeom prst="rect">
          <a:avLst/>
        </a:prstGeom>
      </xdr:spPr>
    </xdr:pic>
    <xdr:clientData/>
  </xdr:twoCellAnchor>
  <xdr:twoCellAnchor editAs="oneCell">
    <xdr:from>
      <xdr:col>43</xdr:col>
      <xdr:colOff>381000</xdr:colOff>
      <xdr:row>32</xdr:row>
      <xdr:rowOff>625928</xdr:rowOff>
    </xdr:from>
    <xdr:to>
      <xdr:col>48</xdr:col>
      <xdr:colOff>503464</xdr:colOff>
      <xdr:row>67</xdr:row>
      <xdr:rowOff>115273</xdr:rowOff>
    </xdr:to>
    <xdr:pic>
      <xdr:nvPicPr>
        <xdr:cNvPr id="4" name="Immagin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38871525" y="9712778"/>
          <a:ext cx="6075589" cy="6614045"/>
        </a:xfrm>
        <a:prstGeom prst="rect">
          <a:avLst/>
        </a:prstGeom>
      </xdr:spPr>
    </xdr:pic>
    <xdr:clientData/>
  </xdr:twoCellAnchor>
  <xdr:twoCellAnchor editAs="oneCell">
    <xdr:from>
      <xdr:col>33</xdr:col>
      <xdr:colOff>1251857</xdr:colOff>
      <xdr:row>45</xdr:row>
      <xdr:rowOff>81642</xdr:rowOff>
    </xdr:from>
    <xdr:to>
      <xdr:col>43</xdr:col>
      <xdr:colOff>179441</xdr:colOff>
      <xdr:row>65</xdr:row>
      <xdr:rowOff>4129</xdr:rowOff>
    </xdr:to>
    <xdr:pic>
      <xdr:nvPicPr>
        <xdr:cNvPr id="5" name="Immagin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30217382" y="12073617"/>
          <a:ext cx="8452584" cy="3160985"/>
        </a:xfrm>
        <a:prstGeom prst="rect">
          <a:avLst/>
        </a:prstGeom>
      </xdr:spPr>
    </xdr:pic>
    <xdr:clientData/>
  </xdr:twoCellAnchor>
  <xdr:twoCellAnchor editAs="oneCell">
    <xdr:from>
      <xdr:col>39</xdr:col>
      <xdr:colOff>207818</xdr:colOff>
      <xdr:row>86</xdr:row>
      <xdr:rowOff>95250</xdr:rowOff>
    </xdr:from>
    <xdr:to>
      <xdr:col>48</xdr:col>
      <xdr:colOff>183871</xdr:colOff>
      <xdr:row>91</xdr:row>
      <xdr:rowOff>3352</xdr:rowOff>
    </xdr:to>
    <xdr:pic>
      <xdr:nvPicPr>
        <xdr:cNvPr id="6" name="Immagin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35459843" y="20678775"/>
          <a:ext cx="9167678" cy="1923073"/>
        </a:xfrm>
        <a:prstGeom prst="rect">
          <a:avLst/>
        </a:prstGeom>
      </xdr:spPr>
    </xdr:pic>
    <xdr:clientData/>
  </xdr:twoCellAnchor>
  <xdr:twoCellAnchor editAs="oneCell">
    <xdr:from>
      <xdr:col>40</xdr:col>
      <xdr:colOff>65562</xdr:colOff>
      <xdr:row>110</xdr:row>
      <xdr:rowOff>13607</xdr:rowOff>
    </xdr:from>
    <xdr:to>
      <xdr:col>48</xdr:col>
      <xdr:colOff>1115623</xdr:colOff>
      <xdr:row>117</xdr:row>
      <xdr:rowOff>51264</xdr:rowOff>
    </xdr:to>
    <xdr:pic>
      <xdr:nvPicPr>
        <xdr:cNvPr id="7" name="Immagin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36127212" y="26531207"/>
          <a:ext cx="9432061" cy="2243994"/>
        </a:xfrm>
        <a:prstGeom prst="rect">
          <a:avLst/>
        </a:prstGeom>
      </xdr:spPr>
    </xdr:pic>
    <xdr:clientData/>
  </xdr:twoCellAnchor>
  <xdr:twoCellAnchor editAs="oneCell">
    <xdr:from>
      <xdr:col>48</xdr:col>
      <xdr:colOff>653144</xdr:colOff>
      <xdr:row>33</xdr:row>
      <xdr:rowOff>108857</xdr:rowOff>
    </xdr:from>
    <xdr:to>
      <xdr:col>52</xdr:col>
      <xdr:colOff>1093384</xdr:colOff>
      <xdr:row>38</xdr:row>
      <xdr:rowOff>26177</xdr:rowOff>
    </xdr:to>
    <xdr:pic>
      <xdr:nvPicPr>
        <xdr:cNvPr id="8" name="Immagin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45096794" y="9852932"/>
          <a:ext cx="5202740" cy="1424867"/>
        </a:xfrm>
        <a:prstGeom prst="rect">
          <a:avLst/>
        </a:prstGeom>
      </xdr:spPr>
    </xdr:pic>
    <xdr:clientData/>
  </xdr:twoCellAnchor>
  <xdr:twoCellAnchor editAs="oneCell">
    <xdr:from>
      <xdr:col>50</xdr:col>
      <xdr:colOff>993321</xdr:colOff>
      <xdr:row>86</xdr:row>
      <xdr:rowOff>81642</xdr:rowOff>
    </xdr:from>
    <xdr:to>
      <xdr:col>57</xdr:col>
      <xdr:colOff>653142</xdr:colOff>
      <xdr:row>92</xdr:row>
      <xdr:rowOff>47532</xdr:rowOff>
    </xdr:to>
    <xdr:pic>
      <xdr:nvPicPr>
        <xdr:cNvPr id="9" name="Immagin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47818221" y="20665167"/>
          <a:ext cx="7994196" cy="21488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7446857" y="3660322"/>
          <a:ext cx="8383170" cy="12003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co Greco" id="{A09EAF42-4607-4CBC-B7E7-05B384BA923C}" userId="S::Marco.Greco@rothoblaas.com::c5fe7050-9634-4dce-9b36-8378c4baad17"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50" dT="2022-11-28T15:23:29.80" personId="{A09EAF42-4607-4CBC-B7E7-05B384BA923C}" id="{23294385-45C6-47A4-A980-0BB7287C3CCB}">
    <text xml:space="preserve">"la resistenza a taglio per rotolamento (rolling shear) è approssimativamente uguale al doppio della resistenza a trazione in direzione perpendicolare alla fibratura"
Per quali verifiche si deve adottare la resistenza a "rototaglio"? - promo_legno (promolegno.com) 
</text>
    <extLst>
      <x:ext xmlns:xltc2="http://schemas.microsoft.com/office/spreadsheetml/2020/threadedcomments2" uri="{F7C98A9C-CBB3-438F-8F68-D28B6AF4A901}">
        <xltc2:checksum>2658681374</xltc2:checksum>
        <xltc2:hyperlink startIndex="168" length="97" url="https://risponde.promolegno.com/domanda/data/per-quali-verifiche-si-deve-adottare-la-resistenza-a-rototaglio/index.html"/>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M6" dT="2022-08-08T09:30:09.18" personId="{A09EAF42-4607-4CBC-B7E7-05B384BA923C}" id="{222E7172-4C1F-4512-94F6-87163B4A7FDD}">
    <text>EC5 sezione 6.1.5</text>
  </threadedComment>
</ThreadedComments>
</file>

<file path=xl/threadedComments/threadedComment3.xml><?xml version="1.0" encoding="utf-8"?>
<ThreadedComments xmlns="http://schemas.microsoft.com/office/spreadsheetml/2018/threadedcomments" xmlns:x="http://schemas.openxmlformats.org/spreadsheetml/2006/main">
  <threadedComment ref="AM6" dT="2022-08-08T09:30:09.18" personId="{A09EAF42-4607-4CBC-B7E7-05B384BA923C}" id="{A82E0F57-CE29-4910-A5B7-0FBFC6CF6114}">
    <text>EC5 sezione 6.1.5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rothoblaas.com/privacy-polic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856F5-C04D-410B-A9DF-FB137B32745D}">
  <sheetPr codeName="Foglio14"/>
  <dimension ref="A1:K65"/>
  <sheetViews>
    <sheetView showGridLines="0" showRowColHeaders="0" tabSelected="1" zoomScaleNormal="100" workbookViewId="0">
      <selection activeCell="B12" sqref="B12:E12"/>
    </sheetView>
  </sheetViews>
  <sheetFormatPr defaultColWidth="0" defaultRowHeight="12.75" customHeight="1" zeroHeight="1" x14ac:dyDescent="0.2"/>
  <cols>
    <col min="1" max="2" width="5.625" customWidth="1"/>
    <col min="3" max="3" width="18.625" customWidth="1"/>
    <col min="4" max="4" width="78.625" customWidth="1"/>
    <col min="5" max="5" width="18.625" customWidth="1"/>
    <col min="6" max="6" width="5.625" customWidth="1"/>
    <col min="7" max="11" width="0" hidden="1" customWidth="1"/>
    <col min="12" max="16384" width="9" hidden="1"/>
  </cols>
  <sheetData>
    <row r="1" spans="1:11" x14ac:dyDescent="0.2">
      <c r="A1" s="353"/>
      <c r="B1" s="353"/>
      <c r="C1" s="353"/>
      <c r="D1" s="353"/>
      <c r="E1" s="353"/>
      <c r="F1" s="353"/>
    </row>
    <row r="2" spans="1:11" ht="12.95" customHeight="1" x14ac:dyDescent="0.2">
      <c r="A2" s="353"/>
      <c r="B2" s="353"/>
      <c r="C2" s="353"/>
      <c r="D2" s="368" t="s">
        <v>1369</v>
      </c>
      <c r="E2" s="354" t="s">
        <v>1343</v>
      </c>
      <c r="F2" s="353"/>
    </row>
    <row r="3" spans="1:11" x14ac:dyDescent="0.2">
      <c r="A3" s="353"/>
      <c r="B3" s="353"/>
      <c r="C3" s="353"/>
      <c r="D3" s="368"/>
      <c r="E3" s="369" t="s">
        <v>516</v>
      </c>
      <c r="F3" s="353"/>
    </row>
    <row r="4" spans="1:11" x14ac:dyDescent="0.2">
      <c r="A4" s="353"/>
      <c r="B4" s="353"/>
      <c r="C4" s="353"/>
      <c r="D4" s="368"/>
      <c r="E4" s="369"/>
      <c r="F4" s="353"/>
    </row>
    <row r="5" spans="1:11" x14ac:dyDescent="0.2">
      <c r="A5" s="353"/>
      <c r="B5" s="353"/>
      <c r="C5" s="353"/>
      <c r="D5" s="353"/>
      <c r="E5" s="353"/>
      <c r="F5" s="353"/>
    </row>
    <row r="6" spans="1:11" ht="15.75" x14ac:dyDescent="0.2">
      <c r="A6" s="353"/>
      <c r="B6" s="353"/>
      <c r="C6" s="353"/>
      <c r="D6" s="355" t="s">
        <v>1370</v>
      </c>
      <c r="E6" s="353"/>
      <c r="F6" s="353"/>
    </row>
    <row r="7" spans="1:11" ht="12.75" customHeight="1" x14ac:dyDescent="0.2">
      <c r="A7" s="353"/>
      <c r="B7" s="353"/>
      <c r="C7" s="370" t="s">
        <v>1371</v>
      </c>
      <c r="D7" s="370"/>
      <c r="E7" s="370"/>
      <c r="F7" s="353"/>
    </row>
    <row r="8" spans="1:11" ht="18" customHeight="1" x14ac:dyDescent="0.2">
      <c r="A8" s="353"/>
      <c r="B8" s="353"/>
      <c r="C8" s="370"/>
      <c r="D8" s="370"/>
      <c r="E8" s="370"/>
      <c r="F8" s="353"/>
    </row>
    <row r="9" spans="1:11" ht="18" customHeight="1" x14ac:dyDescent="0.2">
      <c r="A9" s="353"/>
      <c r="B9" s="353"/>
      <c r="C9" s="370"/>
      <c r="D9" s="370"/>
      <c r="E9" s="370"/>
      <c r="F9" s="353"/>
    </row>
    <row r="10" spans="1:11" x14ac:dyDescent="0.2">
      <c r="A10" s="353"/>
      <c r="B10" s="353"/>
      <c r="C10" s="353"/>
      <c r="D10" s="353"/>
      <c r="E10" s="353"/>
      <c r="F10" s="353"/>
    </row>
    <row r="11" spans="1:11" x14ac:dyDescent="0.2">
      <c r="A11" s="356"/>
      <c r="B11" s="356"/>
      <c r="C11" s="356"/>
      <c r="D11" s="356"/>
      <c r="E11" s="356"/>
      <c r="F11" s="356"/>
    </row>
    <row r="12" spans="1:11" ht="264" customHeight="1" x14ac:dyDescent="0.2">
      <c r="A12" s="356"/>
      <c r="B12" s="371" t="e" vm="1">
        <v>#VALUE!</v>
      </c>
      <c r="C12" s="371"/>
      <c r="D12" s="371"/>
      <c r="E12" s="371"/>
      <c r="F12" s="356"/>
    </row>
    <row r="13" spans="1:11" x14ac:dyDescent="0.2">
      <c r="A13" s="356"/>
      <c r="B13" s="356"/>
      <c r="C13" s="356"/>
      <c r="D13" s="356"/>
      <c r="E13" s="356"/>
      <c r="F13" s="356"/>
    </row>
    <row r="14" spans="1:11" ht="14.25" x14ac:dyDescent="0.2">
      <c r="A14" s="356"/>
      <c r="B14" s="357" t="s">
        <v>1344</v>
      </c>
      <c r="C14" s="356"/>
      <c r="D14" s="356"/>
      <c r="E14" s="356"/>
      <c r="F14" s="356"/>
    </row>
    <row r="15" spans="1:11" x14ac:dyDescent="0.2">
      <c r="A15" s="356"/>
      <c r="B15" s="356"/>
      <c r="C15" s="358"/>
      <c r="D15" s="358"/>
      <c r="E15" s="358"/>
      <c r="F15" s="356"/>
    </row>
    <row r="16" spans="1:11" ht="200.1" customHeight="1" x14ac:dyDescent="0.2">
      <c r="A16" s="356"/>
      <c r="B16" s="356"/>
      <c r="C16" s="365" t="s">
        <v>1345</v>
      </c>
      <c r="D16" s="365"/>
      <c r="E16" s="365"/>
      <c r="F16" s="356"/>
      <c r="K16" s="360"/>
    </row>
    <row r="17" spans="1:9" x14ac:dyDescent="0.2">
      <c r="A17" s="356"/>
      <c r="B17" s="356"/>
      <c r="C17" s="361"/>
      <c r="D17" s="358"/>
      <c r="E17" s="358"/>
      <c r="F17" s="356"/>
    </row>
    <row r="18" spans="1:9" ht="14.25" x14ac:dyDescent="0.2">
      <c r="A18" s="356"/>
      <c r="B18" s="357" t="s">
        <v>1346</v>
      </c>
      <c r="C18" s="361"/>
      <c r="D18" s="358"/>
      <c r="E18" s="358"/>
      <c r="F18" s="356"/>
    </row>
    <row r="19" spans="1:9" x14ac:dyDescent="0.2">
      <c r="A19" s="356"/>
      <c r="B19" s="356"/>
      <c r="C19" s="361"/>
      <c r="D19" s="358"/>
      <c r="E19" s="358"/>
      <c r="F19" s="356"/>
    </row>
    <row r="20" spans="1:9" ht="39.950000000000003" customHeight="1" x14ac:dyDescent="0.2">
      <c r="A20" s="356"/>
      <c r="B20" s="362"/>
      <c r="C20" s="367" t="s">
        <v>1372</v>
      </c>
      <c r="D20" s="367"/>
      <c r="E20" s="367"/>
      <c r="F20" s="356"/>
      <c r="I20" s="331"/>
    </row>
    <row r="21" spans="1:9" x14ac:dyDescent="0.2">
      <c r="A21" s="356"/>
      <c r="B21" s="356"/>
      <c r="C21" s="359"/>
      <c r="D21" s="358"/>
      <c r="E21" s="358"/>
      <c r="F21" s="356"/>
    </row>
    <row r="22" spans="1:9" ht="14.25" x14ac:dyDescent="0.2">
      <c r="A22" s="356"/>
      <c r="B22" s="357" t="s">
        <v>1347</v>
      </c>
      <c r="C22" s="361"/>
      <c r="D22" s="358"/>
      <c r="E22" s="358"/>
      <c r="F22" s="356"/>
    </row>
    <row r="23" spans="1:9" x14ac:dyDescent="0.2">
      <c r="A23" s="356"/>
      <c r="B23" s="356"/>
      <c r="C23" s="361"/>
      <c r="D23" s="358"/>
      <c r="E23" s="358"/>
      <c r="F23" s="356"/>
    </row>
    <row r="24" spans="1:9" ht="153" customHeight="1" x14ac:dyDescent="0.2">
      <c r="A24" s="356"/>
      <c r="B24" s="356"/>
      <c r="C24" s="365" t="s">
        <v>1348</v>
      </c>
      <c r="D24" s="365"/>
      <c r="E24" s="365"/>
      <c r="F24" s="356"/>
    </row>
    <row r="25" spans="1:9" x14ac:dyDescent="0.2">
      <c r="A25" s="356"/>
      <c r="B25" s="356"/>
      <c r="C25" s="359"/>
      <c r="D25" s="358"/>
      <c r="E25" s="358"/>
      <c r="F25" s="356"/>
    </row>
    <row r="26" spans="1:9" ht="14.25" x14ac:dyDescent="0.2">
      <c r="A26" s="356"/>
      <c r="B26" s="357" t="s">
        <v>1349</v>
      </c>
      <c r="C26" s="358"/>
      <c r="D26" s="358"/>
      <c r="E26" s="358"/>
      <c r="F26" s="356"/>
    </row>
    <row r="27" spans="1:9" x14ac:dyDescent="0.2">
      <c r="A27" s="356"/>
      <c r="B27" s="356"/>
      <c r="C27" s="359"/>
      <c r="D27" s="358"/>
      <c r="E27" s="358"/>
      <c r="F27" s="356"/>
    </row>
    <row r="28" spans="1:9" ht="306" customHeight="1" x14ac:dyDescent="0.2">
      <c r="A28" s="356"/>
      <c r="B28" s="356"/>
      <c r="C28" s="365" t="s">
        <v>1350</v>
      </c>
      <c r="D28" s="365"/>
      <c r="E28" s="365"/>
      <c r="F28" s="356"/>
    </row>
    <row r="29" spans="1:9" x14ac:dyDescent="0.2">
      <c r="A29" s="356"/>
      <c r="B29" s="356"/>
      <c r="C29" s="359"/>
      <c r="D29" s="358"/>
      <c r="E29" s="358"/>
      <c r="F29" s="356"/>
    </row>
    <row r="30" spans="1:9" ht="14.25" x14ac:dyDescent="0.2">
      <c r="A30" s="356"/>
      <c r="B30" s="357" t="s">
        <v>1351</v>
      </c>
      <c r="C30" s="358"/>
      <c r="D30" s="358"/>
      <c r="E30" s="358"/>
      <c r="F30" s="356"/>
    </row>
    <row r="31" spans="1:9" x14ac:dyDescent="0.2">
      <c r="A31" s="356"/>
      <c r="B31" s="356"/>
      <c r="C31" s="359"/>
      <c r="D31" s="358"/>
      <c r="E31" s="358"/>
      <c r="F31" s="356"/>
    </row>
    <row r="32" spans="1:9" ht="63.95" customHeight="1" x14ac:dyDescent="0.2">
      <c r="A32" s="356"/>
      <c r="B32" s="356"/>
      <c r="C32" s="365" t="s">
        <v>1352</v>
      </c>
      <c r="D32" s="365"/>
      <c r="E32" s="365"/>
      <c r="F32" s="356"/>
    </row>
    <row r="33" spans="1:6" x14ac:dyDescent="0.2">
      <c r="A33" s="356"/>
      <c r="B33" s="356"/>
      <c r="C33" s="359"/>
      <c r="D33" s="358"/>
      <c r="E33" s="358"/>
      <c r="F33" s="356"/>
    </row>
    <row r="34" spans="1:6" ht="14.25" x14ac:dyDescent="0.2">
      <c r="A34" s="356"/>
      <c r="B34" s="357" t="s">
        <v>1353</v>
      </c>
      <c r="C34" s="358"/>
      <c r="D34" s="358"/>
      <c r="E34" s="358"/>
      <c r="F34" s="356"/>
    </row>
    <row r="35" spans="1:6" x14ac:dyDescent="0.2">
      <c r="A35" s="356"/>
      <c r="B35" s="356"/>
      <c r="C35" s="359"/>
      <c r="D35" s="358"/>
      <c r="E35" s="358"/>
      <c r="F35" s="356"/>
    </row>
    <row r="36" spans="1:6" ht="102" customHeight="1" x14ac:dyDescent="0.2">
      <c r="A36" s="356"/>
      <c r="B36" s="356"/>
      <c r="C36" s="365" t="s">
        <v>1354</v>
      </c>
      <c r="D36" s="365"/>
      <c r="E36" s="365"/>
      <c r="F36" s="356"/>
    </row>
    <row r="37" spans="1:6" x14ac:dyDescent="0.2">
      <c r="A37" s="356"/>
      <c r="B37" s="356"/>
      <c r="C37" s="359"/>
      <c r="D37" s="358"/>
      <c r="E37" s="358"/>
      <c r="F37" s="356"/>
    </row>
    <row r="38" spans="1:6" ht="14.25" x14ac:dyDescent="0.2">
      <c r="A38" s="356"/>
      <c r="B38" s="357" t="s">
        <v>1355</v>
      </c>
      <c r="C38" s="358"/>
      <c r="D38" s="358"/>
      <c r="E38" s="358"/>
      <c r="F38" s="356"/>
    </row>
    <row r="39" spans="1:6" x14ac:dyDescent="0.2">
      <c r="A39" s="356"/>
      <c r="B39" s="356"/>
      <c r="C39" s="359"/>
      <c r="D39" s="358"/>
      <c r="E39" s="358"/>
      <c r="F39" s="356"/>
    </row>
    <row r="40" spans="1:6" ht="280.5" customHeight="1" x14ac:dyDescent="0.2">
      <c r="A40" s="356"/>
      <c r="B40" s="356"/>
      <c r="C40" s="365" t="s">
        <v>1356</v>
      </c>
      <c r="D40" s="365"/>
      <c r="E40" s="365"/>
      <c r="F40" s="356"/>
    </row>
    <row r="41" spans="1:6" x14ac:dyDescent="0.2">
      <c r="A41" s="356"/>
      <c r="B41" s="356"/>
      <c r="C41" s="359"/>
      <c r="D41" s="358"/>
      <c r="E41" s="358"/>
      <c r="F41" s="356"/>
    </row>
    <row r="42" spans="1:6" ht="14.25" x14ac:dyDescent="0.2">
      <c r="A42" s="356"/>
      <c r="B42" s="357" t="s">
        <v>1357</v>
      </c>
      <c r="C42" s="358"/>
      <c r="D42" s="358"/>
      <c r="E42" s="358"/>
      <c r="F42" s="356"/>
    </row>
    <row r="43" spans="1:6" x14ac:dyDescent="0.2">
      <c r="A43" s="356"/>
      <c r="B43" s="356"/>
      <c r="C43" s="359"/>
      <c r="D43" s="358"/>
      <c r="E43" s="358"/>
      <c r="F43" s="356"/>
    </row>
    <row r="44" spans="1:6" ht="51" customHeight="1" x14ac:dyDescent="0.2">
      <c r="A44" s="356"/>
      <c r="B44" s="356"/>
      <c r="C44" s="365" t="s">
        <v>1358</v>
      </c>
      <c r="D44" s="365"/>
      <c r="E44" s="365"/>
      <c r="F44" s="356"/>
    </row>
    <row r="45" spans="1:6" x14ac:dyDescent="0.2">
      <c r="A45" s="356"/>
      <c r="B45" s="356"/>
      <c r="C45" s="359"/>
      <c r="D45" s="358"/>
      <c r="E45" s="358"/>
      <c r="F45" s="356"/>
    </row>
    <row r="46" spans="1:6" ht="14.25" x14ac:dyDescent="0.2">
      <c r="A46" s="356"/>
      <c r="B46" s="357" t="s">
        <v>1359</v>
      </c>
      <c r="C46" s="358"/>
      <c r="D46" s="358"/>
      <c r="E46" s="358"/>
      <c r="F46" s="356"/>
    </row>
    <row r="47" spans="1:6" x14ac:dyDescent="0.2">
      <c r="A47" s="356"/>
      <c r="B47" s="356"/>
      <c r="C47" s="359"/>
      <c r="D47" s="358"/>
      <c r="E47" s="358"/>
      <c r="F47" s="356"/>
    </row>
    <row r="48" spans="1:6" ht="25.5" customHeight="1" x14ac:dyDescent="0.2">
      <c r="A48" s="356"/>
      <c r="B48" s="356"/>
      <c r="C48" s="365" t="s">
        <v>1360</v>
      </c>
      <c r="D48" s="365"/>
      <c r="E48" s="365"/>
      <c r="F48" s="356"/>
    </row>
    <row r="49" spans="1:10" x14ac:dyDescent="0.2">
      <c r="A49" s="356"/>
      <c r="B49" s="356"/>
      <c r="C49" s="359"/>
      <c r="D49" s="358"/>
      <c r="E49" s="358"/>
      <c r="F49" s="356"/>
    </row>
    <row r="50" spans="1:10" ht="14.25" x14ac:dyDescent="0.2">
      <c r="A50" s="356"/>
      <c r="B50" s="357" t="s">
        <v>1361</v>
      </c>
      <c r="C50" s="358"/>
      <c r="D50" s="358"/>
      <c r="E50" s="358"/>
      <c r="F50" s="356"/>
    </row>
    <row r="51" spans="1:10" x14ac:dyDescent="0.2">
      <c r="A51" s="356"/>
      <c r="B51" s="356"/>
      <c r="C51" s="359"/>
      <c r="D51" s="358"/>
      <c r="E51" s="358"/>
      <c r="F51" s="356"/>
    </row>
    <row r="52" spans="1:10" ht="25.5" customHeight="1" x14ac:dyDescent="0.2">
      <c r="A52" s="356"/>
      <c r="B52" s="356"/>
      <c r="C52" s="365" t="s">
        <v>1362</v>
      </c>
      <c r="D52" s="365"/>
      <c r="E52" s="365"/>
      <c r="F52" s="356"/>
    </row>
    <row r="53" spans="1:10" x14ac:dyDescent="0.2">
      <c r="A53" s="356"/>
      <c r="B53" s="356"/>
      <c r="C53" s="359"/>
      <c r="D53" s="358"/>
      <c r="E53" s="358"/>
      <c r="F53" s="356"/>
    </row>
    <row r="54" spans="1:10" ht="14.25" x14ac:dyDescent="0.2">
      <c r="A54" s="356"/>
      <c r="B54" s="357" t="s">
        <v>1363</v>
      </c>
      <c r="C54" s="358"/>
      <c r="D54" s="358"/>
      <c r="E54" s="358"/>
      <c r="F54" s="356"/>
      <c r="J54" s="363"/>
    </row>
    <row r="55" spans="1:10" x14ac:dyDescent="0.2">
      <c r="A55" s="356"/>
      <c r="B55" s="356"/>
      <c r="C55" s="359"/>
      <c r="D55" s="358"/>
      <c r="E55" s="358"/>
      <c r="F55" s="356"/>
    </row>
    <row r="56" spans="1:10" ht="12.75" customHeight="1" x14ac:dyDescent="0.2">
      <c r="A56" s="356"/>
      <c r="B56" s="356"/>
      <c r="C56" s="365" t="s">
        <v>1364</v>
      </c>
      <c r="D56" s="365"/>
      <c r="E56" s="365"/>
      <c r="F56" s="356"/>
    </row>
    <row r="57" spans="1:10" x14ac:dyDescent="0.2">
      <c r="A57" s="356"/>
      <c r="B57" s="356"/>
      <c r="C57" s="359"/>
      <c r="D57" s="358"/>
      <c r="E57" s="358"/>
      <c r="F57" s="356"/>
    </row>
    <row r="58" spans="1:10" ht="14.25" x14ac:dyDescent="0.2">
      <c r="A58" s="356"/>
      <c r="B58" s="357" t="s">
        <v>1365</v>
      </c>
      <c r="C58" s="358"/>
      <c r="D58" s="358"/>
      <c r="E58" s="358"/>
      <c r="F58" s="356"/>
    </row>
    <row r="59" spans="1:10" ht="12.75" customHeight="1" x14ac:dyDescent="0.2">
      <c r="A59" s="356"/>
      <c r="B59" s="356"/>
      <c r="C59" s="359"/>
      <c r="D59" s="358"/>
      <c r="E59" s="358"/>
      <c r="F59" s="356"/>
    </row>
    <row r="60" spans="1:10" ht="12.75" customHeight="1" x14ac:dyDescent="0.2">
      <c r="A60" s="356"/>
      <c r="B60" s="356"/>
      <c r="C60" s="365" t="s">
        <v>1366</v>
      </c>
      <c r="D60" s="365"/>
      <c r="E60" s="365"/>
      <c r="F60" s="356"/>
    </row>
    <row r="61" spans="1:10" ht="12.75" customHeight="1" x14ac:dyDescent="0.2">
      <c r="A61" s="356"/>
      <c r="B61" s="356"/>
      <c r="C61" s="366" t="s">
        <v>1367</v>
      </c>
      <c r="D61" s="365"/>
      <c r="E61" s="365"/>
      <c r="F61" s="356"/>
    </row>
    <row r="62" spans="1:10" ht="12.75" customHeight="1" x14ac:dyDescent="0.2">
      <c r="A62" s="356"/>
      <c r="B62" s="356"/>
      <c r="C62" s="356"/>
      <c r="D62" s="356"/>
      <c r="E62" s="356"/>
      <c r="F62" s="356"/>
    </row>
    <row r="63" spans="1:10" x14ac:dyDescent="0.2">
      <c r="A63" s="364" t="s">
        <v>1368</v>
      </c>
      <c r="B63" s="364"/>
      <c r="C63" s="364"/>
      <c r="D63" s="364"/>
      <c r="E63" s="364"/>
      <c r="F63" s="364"/>
    </row>
    <row r="64" spans="1:10" x14ac:dyDescent="0.2">
      <c r="A64" s="364"/>
      <c r="B64" s="364"/>
      <c r="C64" s="364"/>
      <c r="D64" s="364"/>
      <c r="E64" s="364"/>
      <c r="F64" s="364"/>
    </row>
    <row r="65" spans="1:6" x14ac:dyDescent="0.2">
      <c r="A65" s="364"/>
      <c r="B65" s="364"/>
      <c r="C65" s="364"/>
      <c r="D65" s="364"/>
      <c r="E65" s="364"/>
      <c r="F65" s="364"/>
    </row>
  </sheetData>
  <sheetProtection algorithmName="SHA-512" hashValue="wcTv3Cf2ZXDd87vXuXvxg+h/OJiTryeo/r1CpR01m2ufTz9Ur32fPhJnJJutgHKXVHx0Gu6zG2dxBGC58LwVkA==" saltValue="VjkXPHA2C3d+O23uFObesA==" spinCount="100000" sheet="1" objects="1" scenarios="1" selectLockedCells="1"/>
  <mergeCells count="18">
    <mergeCell ref="C20:E20"/>
    <mergeCell ref="D2:D4"/>
    <mergeCell ref="E3:E4"/>
    <mergeCell ref="C7:E9"/>
    <mergeCell ref="B12:E12"/>
    <mergeCell ref="C16:E16"/>
    <mergeCell ref="A63:F65"/>
    <mergeCell ref="C24:E24"/>
    <mergeCell ref="C28:E28"/>
    <mergeCell ref="C32:E32"/>
    <mergeCell ref="C36:E36"/>
    <mergeCell ref="C40:E40"/>
    <mergeCell ref="C44:E44"/>
    <mergeCell ref="C48:E48"/>
    <mergeCell ref="C52:E52"/>
    <mergeCell ref="C56:E56"/>
    <mergeCell ref="C60:E60"/>
    <mergeCell ref="C61:E61"/>
  </mergeCells>
  <hyperlinks>
    <hyperlink ref="C61" r:id="rId1" xr:uid="{13C0A4ED-764D-4D9F-B644-5EC3E6787C7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EA2B3-623C-4E94-BF98-5F5E0EDD0D57}">
  <sheetPr codeName="Foglio8">
    <tabColor rgb="FFF9ADAD"/>
  </sheetPr>
  <dimension ref="C2:BL118"/>
  <sheetViews>
    <sheetView showGridLines="0" topLeftCell="AR1" zoomScale="70" zoomScaleNormal="70"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s>
  <sheetData>
    <row r="2" spans="3:61"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1" ht="13.5" thickBot="1" x14ac:dyDescent="0.25"/>
    <row r="4" spans="3:61"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1"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390</v>
      </c>
      <c r="AP5" s="28" t="s">
        <v>170</v>
      </c>
      <c r="AQ5" s="28" t="s">
        <v>171</v>
      </c>
      <c r="AR5" s="109" t="s">
        <v>175</v>
      </c>
      <c r="AS5" s="109" t="s">
        <v>176</v>
      </c>
      <c r="AT5" s="109" t="s">
        <v>177</v>
      </c>
      <c r="AU5" s="109" t="s">
        <v>227</v>
      </c>
      <c r="AV5" s="109" t="s">
        <v>227</v>
      </c>
      <c r="AW5" s="136"/>
      <c r="AX5" s="136"/>
      <c r="BE5" s="143"/>
      <c r="BF5" s="143"/>
      <c r="BG5" s="143"/>
      <c r="BH5" s="143"/>
      <c r="BI5" s="143"/>
    </row>
    <row r="6" spans="3:61"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45">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(AD12*AC6)/SQRT(1+(((AD12*AC6)/(AE12*Z6))^2))</f>
        <v>61712.071175930527</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257">
        <f>G6+F15</f>
        <v>150</v>
      </c>
      <c r="AP6" s="45">
        <f>'LOCK-T'!H70</f>
        <v>400</v>
      </c>
      <c r="AQ6" s="45">
        <f>VLOOKUP(AG6,Data!$B$2:$F$36,5,FALSE)</f>
        <v>1.2</v>
      </c>
      <c r="AR6" s="46">
        <f>AK6*AN6</f>
        <v>46680</v>
      </c>
      <c r="AS6" s="46">
        <f>AM6*AL6*AN6</f>
        <v>4862.5</v>
      </c>
      <c r="AT6" s="46">
        <f>((AP6-AO6)*D6*AQ6)/2</f>
        <v>43500</v>
      </c>
      <c r="AU6" s="47">
        <f>MIN(AF8,AR6)/1000</f>
        <v>46.68</v>
      </c>
      <c r="AV6" s="47">
        <f>MIN(AF8,AS6,AT6)/1000</f>
        <v>4.8624999999999998</v>
      </c>
      <c r="AW6" s="137"/>
      <c r="AX6" s="137"/>
      <c r="BG6" s="159" t="s">
        <v>227</v>
      </c>
      <c r="BH6" s="347" t="s">
        <v>1329</v>
      </c>
    </row>
    <row r="7" spans="3:61" ht="46.5" thickBot="1" x14ac:dyDescent="0.25">
      <c r="Z7" s="120" t="s">
        <v>242</v>
      </c>
      <c r="AF7" s="109" t="s">
        <v>172</v>
      </c>
      <c r="AI7" s="53" t="s">
        <v>98</v>
      </c>
      <c r="AJ7" s="53" t="s">
        <v>103</v>
      </c>
      <c r="BD7" s="99" t="str">
        <f>Translation!B7</f>
        <v>Notch in main beam</v>
      </c>
      <c r="BE7" s="99" t="s">
        <v>179</v>
      </c>
      <c r="BF7" s="138" t="s">
        <v>222</v>
      </c>
      <c r="BG7" s="160">
        <f>AU6</f>
        <v>46.68</v>
      </c>
      <c r="BH7" s="348">
        <f>(BG7*'LOCK-T'!$H$47)/'LOCK-T'!$H$50</f>
        <v>28.726153846153846</v>
      </c>
    </row>
    <row r="8" spans="3:61"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(AD12*AC6)/SQRT(1+(((AD12*AC6)/(AE12*Z8))^2))</f>
        <v>61176.36545505817</v>
      </c>
      <c r="AI8" s="43">
        <f>VLOOKUP(AH6,Screws!$C$6:$J$34,3,FALSE)</f>
        <v>7</v>
      </c>
      <c r="AJ8" s="43">
        <f>VLOOKUP(AG6,Data!$B$4:$C$36,2,FALSE)</f>
        <v>385</v>
      </c>
      <c r="BD8" s="99" t="str">
        <f>Translation!B6</f>
        <v>Notch in column</v>
      </c>
      <c r="BE8" s="99" t="s">
        <v>180</v>
      </c>
      <c r="BF8" s="138" t="s">
        <v>223</v>
      </c>
      <c r="BG8" s="160">
        <f>AV6</f>
        <v>4.8624999999999998</v>
      </c>
      <c r="BH8" s="348">
        <f>(BG8*'LOCK-T'!$H$47)/'LOCK-T'!$H$50</f>
        <v>2.9923076923076923</v>
      </c>
    </row>
    <row r="9" spans="3:61" ht="14.25" x14ac:dyDescent="0.2">
      <c r="BD9" s="99" t="str">
        <f>Translation!B8</f>
        <v>Notch in secondary beam</v>
      </c>
      <c r="BE9" s="99" t="s">
        <v>181</v>
      </c>
      <c r="BF9" s="138" t="s">
        <v>224</v>
      </c>
      <c r="BG9" s="160">
        <f>AZ32</f>
        <v>9.7249999999999996</v>
      </c>
      <c r="BH9" s="348">
        <f>(BG9*'LOCK-T'!$H$47)/'LOCK-T'!$H$50</f>
        <v>5.9846153846153847</v>
      </c>
    </row>
    <row r="10" spans="3:61" ht="14.25" x14ac:dyDescent="0.2">
      <c r="BD10" s="99" t="str">
        <f>Translation!B9</f>
        <v>Inclined screws</v>
      </c>
      <c r="BE10" s="99" t="s">
        <v>215</v>
      </c>
      <c r="BF10" s="138" t="s">
        <v>225</v>
      </c>
      <c r="BG10" s="160">
        <f>BF83</f>
        <v>6.1780941232008697</v>
      </c>
      <c r="BH10" s="348">
        <f>(BG10*'LOCK-T'!$H$47)/'LOCK-T'!$H$50</f>
        <v>3.8019040758159202</v>
      </c>
    </row>
    <row r="11" spans="3:61" ht="33.75" thickBot="1" x14ac:dyDescent="0.25">
      <c r="C11" s="50" t="s">
        <v>90</v>
      </c>
      <c r="D11" s="51" t="s">
        <v>51</v>
      </c>
      <c r="E11" s="53" t="s">
        <v>97</v>
      </c>
      <c r="F11" s="53" t="s">
        <v>173</v>
      </c>
      <c r="G11" s="53" t="s">
        <v>174</v>
      </c>
      <c r="H11" s="51"/>
      <c r="I11" s="441" t="s">
        <v>250</v>
      </c>
      <c r="J11" s="441"/>
      <c r="K11" s="441"/>
      <c r="L11" s="441"/>
      <c r="AD11" s="53" t="s">
        <v>388</v>
      </c>
      <c r="AE11" s="53" t="s">
        <v>389</v>
      </c>
      <c r="AG11" s="441" t="s">
        <v>250</v>
      </c>
      <c r="AH11" s="441"/>
      <c r="AI11" s="441"/>
      <c r="AJ11" s="441"/>
      <c r="AN11" s="28" t="s">
        <v>168</v>
      </c>
      <c r="BD11" s="99" t="s">
        <v>214</v>
      </c>
      <c r="BE11" s="99" t="s">
        <v>214</v>
      </c>
      <c r="BF11" s="138" t="s">
        <v>226</v>
      </c>
      <c r="BG11" s="160">
        <f>BG107</f>
        <v>1.554</v>
      </c>
      <c r="BH11" s="349">
        <f>BG11/'LOCK-T'!H51</f>
        <v>1.2432000000000001</v>
      </c>
    </row>
    <row r="12" spans="3:61" ht="29.25" thickBot="1" x14ac:dyDescent="0.25">
      <c r="C12" s="42" t="str">
        <f>'LOCK-T'!$I$97</f>
        <v>LOCK-T 50 135</v>
      </c>
      <c r="D12" s="42">
        <f>VLOOKUP(C12,Data!$AA$4:$AF$24,6,FALSE)</f>
        <v>2</v>
      </c>
      <c r="E12" s="43">
        <f>VLOOKUP(VLOOKUP(C12,Data!$AA$4:$AD$24,4,FALSE),Data!$I$4:$S$15,5,FALSE)*D12</f>
        <v>6</v>
      </c>
      <c r="F12" s="45">
        <f>INDEX(Data!$I$35:$O$46,MATCH(VLOOKUP(C12,Data!$AA$4:$AD$24,4,FALSE),Data!$I$35:$I$46,0),MATCH(D12,Data!$I$35:$O$35,0))</f>
        <v>2.7</v>
      </c>
      <c r="G12" s="45">
        <f>INDEX(Data!$I$49:$O$60,MATCH(VLOOKUP(C12,Data!$AA$4:$AD$24,4,FALSE),Data!$I$49:$I$60,0),MATCH(D12,Data!$I$49:$O$49,0))</f>
        <v>13</v>
      </c>
      <c r="J12" t="s">
        <v>249</v>
      </c>
      <c r="K12" t="s">
        <v>248</v>
      </c>
      <c r="M12" s="53" t="s">
        <v>110</v>
      </c>
      <c r="AD12" s="45">
        <f>F12+nef</f>
        <v>23.599999999999998</v>
      </c>
      <c r="AE12" s="45">
        <f>klat+G12</f>
        <v>240</v>
      </c>
      <c r="AH12" t="s">
        <v>249</v>
      </c>
      <c r="AI12" t="s">
        <v>248</v>
      </c>
      <c r="AK12" s="53" t="s">
        <v>110</v>
      </c>
      <c r="AN12" s="258">
        <f>VLOOKUP(VLOOKUP(C12,Data!$AA$4:$AD$24,4,FALSE),Data!$I$4:$L$15,4,FALSE)</f>
        <v>924</v>
      </c>
    </row>
    <row r="13" spans="3:61" ht="14.25" x14ac:dyDescent="0.2">
      <c r="I13" t="s">
        <v>247</v>
      </c>
      <c r="J13">
        <f>0.082*Q6*L6^(-0.3)/((2.5*COS(RADIANS(M13))^2+SIN(RADIANS(M13))^2))</f>
        <v>6.7693373198801936</v>
      </c>
      <c r="K13">
        <f>0.082*Q6*(1-0.01*L6)/((2.5*COS(RADIANS(M13))^2+SIN(RADIANS(M13))^2))</f>
        <v>11.286479999999999</v>
      </c>
      <c r="M13" s="43">
        <f>ABS('LOCK-T'!H86)</f>
        <v>0</v>
      </c>
      <c r="AG13" t="s">
        <v>247</v>
      </c>
      <c r="AH13">
        <f>0.082*AJ8*AI8^(-0.3)/((2.5*COS(RADIANS(AK13))^2+SIN(RADIANS(AK13))^2))</f>
        <v>17.609424784823478</v>
      </c>
      <c r="AI13">
        <f>0.082*AJ8*(1-0.01*AI8)/((2.5*COS(RADIANS(AK13))^2+SIN(RADIANS(AK13))^2))</f>
        <v>29.360099999999999</v>
      </c>
      <c r="AK13" s="43">
        <v>90</v>
      </c>
    </row>
    <row r="14" spans="3:61" ht="29.25" thickBot="1" x14ac:dyDescent="0.25">
      <c r="D14" s="52" t="s">
        <v>92</v>
      </c>
      <c r="E14" s="51" t="s">
        <v>51</v>
      </c>
      <c r="F14" s="51" t="s">
        <v>93</v>
      </c>
    </row>
    <row r="15" spans="3:61" ht="14.25" x14ac:dyDescent="0.2">
      <c r="D15" s="43">
        <f>IF(OR(C12="Lock-T 80",C12="Lock-T 100",C12="Lock-T 120"),17.5,25)</f>
        <v>25</v>
      </c>
      <c r="E15" s="43">
        <f>D12</f>
        <v>2</v>
      </c>
      <c r="F15" s="43">
        <f>D15*E15</f>
        <v>50</v>
      </c>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(AD38*AC32)/SQRT(1+(((AD38*AC32)/(AE38*Z32))^2))</f>
        <v>88133.783976319464</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259">
        <f>G32+F41</f>
        <v>150</v>
      </c>
      <c r="AP32" s="130">
        <f>'LOCK-T'!H83</f>
        <v>240</v>
      </c>
      <c r="AQ32" s="130">
        <f>VLOOKUP(AG32,Data!$B$2:$F$36,5,FALSE)</f>
        <v>1.2</v>
      </c>
      <c r="AR32" s="131">
        <f>2*AM32*AL32*AN32</f>
        <v>9725</v>
      </c>
      <c r="AS32" s="127">
        <f>VLOOKUP(AG32,Data!$B$2:$G$36,6,FALSE)</f>
        <v>3.5</v>
      </c>
      <c r="AT32" s="134">
        <f>(0.5*(AP32-AO32))/AP32</f>
        <v>0.1875</v>
      </c>
      <c r="AU32" s="133">
        <f>VLOOKUP(AG32,$BD$34:$BE$72,2,FALSE)</f>
        <v>6.5</v>
      </c>
      <c r="AV32" s="133">
        <v>20</v>
      </c>
      <c r="AW32" s="133">
        <v>0</v>
      </c>
      <c r="AX32" s="134">
        <f>MIN(AU32*(1+1.1*AW32^1.5/SQRT(AP32))/(SQRT(AP32)*(SQRT(AT32*(1-AT32))+0.8*(AV32/AP32)*SQRT(1/AT32-AT32^2))),1)</f>
        <v>0.77160875664988471</v>
      </c>
      <c r="AY32" s="131">
        <f>(AX32*AS32*D32*(AP32-AO32))/3</f>
        <v>23495.486639988987</v>
      </c>
      <c r="AZ32" s="132">
        <f>MIN(AF32,AR32,AY32)/1000</f>
        <v>9.7249999999999996</v>
      </c>
    </row>
    <row r="33" spans="3:62" ht="51.95" customHeight="1" thickBot="1" x14ac:dyDescent="0.25">
      <c r="BH33" s="138"/>
      <c r="BI33" s="139"/>
      <c r="BJ33" s="140"/>
    </row>
    <row r="34" spans="3:62" ht="18" customHeight="1" x14ac:dyDescent="0.2">
      <c r="BD34" s="445" t="s">
        <v>45</v>
      </c>
      <c r="BE34" s="447" t="s">
        <v>191</v>
      </c>
      <c r="BH34" s="138"/>
      <c r="BI34" s="139"/>
      <c r="BJ34" s="140"/>
    </row>
    <row r="35" spans="3:62" ht="13.5" thickBot="1" x14ac:dyDescent="0.25">
      <c r="T35" s="2"/>
      <c r="BD35" s="446"/>
      <c r="BE35" s="448"/>
      <c r="BH35" s="138"/>
      <c r="BI35" s="29"/>
      <c r="BJ35" s="140"/>
    </row>
    <row r="36" spans="3:62" x14ac:dyDescent="0.2">
      <c r="BD36" s="1" t="s">
        <v>55</v>
      </c>
      <c r="BE36" s="76">
        <v>6.5</v>
      </c>
      <c r="BH36" s="74"/>
      <c r="BI36" s="3"/>
      <c r="BJ36" s="140"/>
    </row>
    <row r="37" spans="3:62" ht="29.25" thickBot="1" x14ac:dyDescent="0.25">
      <c r="C37" s="50" t="s">
        <v>90</v>
      </c>
      <c r="D37" s="51" t="s">
        <v>51</v>
      </c>
      <c r="E37" s="53" t="s">
        <v>97</v>
      </c>
      <c r="F37" s="53" t="s">
        <v>173</v>
      </c>
      <c r="G37" s="53" t="s">
        <v>174</v>
      </c>
      <c r="H37" s="51"/>
      <c r="I37" s="441" t="s">
        <v>250</v>
      </c>
      <c r="J37" s="441"/>
      <c r="K37" s="441"/>
      <c r="L37" s="441"/>
      <c r="AD37" s="53" t="s">
        <v>388</v>
      </c>
      <c r="AE37" s="53" t="s">
        <v>389</v>
      </c>
      <c r="AP37" s="125"/>
      <c r="BD37" s="1" t="s">
        <v>57</v>
      </c>
      <c r="BE37" s="76">
        <v>6.5</v>
      </c>
      <c r="BH37" s="74"/>
      <c r="BI37" s="3"/>
      <c r="BJ37" s="75"/>
    </row>
    <row r="38" spans="3:62" ht="29.25" thickBot="1" x14ac:dyDescent="0.25">
      <c r="C38" s="42" t="str">
        <f>'LOCK-T'!$I$97</f>
        <v>LOCK-T 50 135</v>
      </c>
      <c r="D38" s="42">
        <f>VLOOKUP(C38,Data!$AA$4:$AF$24,6,FALSE)</f>
        <v>2</v>
      </c>
      <c r="E38" s="43">
        <f>VLOOKUP(VLOOKUP(C38,Data!$AA$4:$AD$24,4,FALSE),Data!$I$4:$S$15,5,FALSE)*D38</f>
        <v>6</v>
      </c>
      <c r="F38" s="45">
        <f>INDEX(Data!$I$35:$O$46,MATCH(VLOOKUP(C38,Data!$AA$4:$AD$24,4,FALSE),Data!$I$35:$I$46,0),MATCH(D38,Data!$I$35:$O$35,0))</f>
        <v>2.7</v>
      </c>
      <c r="G38" s="45">
        <f>INDEX(Data!$I$49:$O$60,MATCH(VLOOKUP(C38,Data!$AA$4:$AD$24,4,FALSE),Data!$I$49:$I$60,0),MATCH(D38,Data!$I$49:$O$49,0))</f>
        <v>13</v>
      </c>
      <c r="J38" t="s">
        <v>249</v>
      </c>
      <c r="K38" t="s">
        <v>248</v>
      </c>
      <c r="M38" s="53" t="s">
        <v>110</v>
      </c>
      <c r="AD38" s="45">
        <f>F38+AD32</f>
        <v>23.599999999999998</v>
      </c>
      <c r="AE38" s="45">
        <f>AE32+G38</f>
        <v>240</v>
      </c>
      <c r="BD38" s="1" t="s">
        <v>1</v>
      </c>
      <c r="BE38" s="76">
        <v>6.5</v>
      </c>
      <c r="BH38" s="74"/>
      <c r="BI38" s="3"/>
      <c r="BJ38" s="75"/>
    </row>
    <row r="39" spans="3: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3:62" ht="29.25" thickBot="1" x14ac:dyDescent="0.25">
      <c r="D40" s="52" t="s">
        <v>92</v>
      </c>
      <c r="E40" s="51" t="s">
        <v>51</v>
      </c>
      <c r="F40" s="51" t="s">
        <v>93</v>
      </c>
      <c r="BD40" s="1" t="s">
        <v>62</v>
      </c>
      <c r="BE40" s="76">
        <v>6.5</v>
      </c>
    </row>
    <row r="41" spans="3:62" ht="14.25" x14ac:dyDescent="0.2">
      <c r="D41" s="43">
        <f>IF(OR(C38="Lock-T 80",C38="Lock-T 100",C38="Lock-T 120"),17.5,25)</f>
        <v>25</v>
      </c>
      <c r="E41" s="43">
        <f>D38</f>
        <v>2</v>
      </c>
      <c r="F41" s="43">
        <f>D41*E41</f>
        <v>50</v>
      </c>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3:62" x14ac:dyDescent="0.2">
      <c r="BD42" s="1" t="s">
        <v>66</v>
      </c>
      <c r="BE42" s="76">
        <v>6.5</v>
      </c>
    </row>
    <row r="43" spans="3:62" x14ac:dyDescent="0.2">
      <c r="I43" t="s">
        <v>6</v>
      </c>
      <c r="J43" s="180">
        <f>IF(M39=0,20*L32^(-0.5),0.082*$Q$32*$L$32^(-0.3)/((2.5*COS(RADIANS($M$39))^2+SIN(RADIANS($M$39))^2)))</f>
        <v>17.609424784823478</v>
      </c>
      <c r="BD43" s="1"/>
      <c r="BE43" s="76"/>
    </row>
    <row r="44" spans="3:62" x14ac:dyDescent="0.2">
      <c r="BD44" s="1" t="s">
        <v>68</v>
      </c>
      <c r="BE44" s="76">
        <v>6.5</v>
      </c>
    </row>
    <row r="45" spans="3:62" x14ac:dyDescent="0.2">
      <c r="BD45" s="1" t="s">
        <v>70</v>
      </c>
      <c r="BE45" s="76">
        <v>6.5</v>
      </c>
    </row>
    <row r="46" spans="3:62" x14ac:dyDescent="0.2">
      <c r="BD46" s="1" t="s">
        <v>71</v>
      </c>
      <c r="BE46" s="76">
        <v>6.5</v>
      </c>
    </row>
    <row r="47" spans="3:62" x14ac:dyDescent="0.2">
      <c r="BD47" s="1" t="s">
        <v>72</v>
      </c>
      <c r="BE47" s="76">
        <v>6.5</v>
      </c>
    </row>
    <row r="48" spans="3: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391</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AX86*BB83</f>
        <v>6178.0941232008699</v>
      </c>
      <c r="BD83" s="45">
        <f>VLOOKUP(VLOOKUP(C83,Data!$AA$4:$AD$24,4,FALSE),Data!$Q$85:$R$96,2,FALSE)</f>
        <v>12</v>
      </c>
      <c r="BE83" s="46"/>
      <c r="BF83" s="47">
        <f>IF(AH83='LOCK-T'!AB165,,MIN(AF85,BC83)/1000)</f>
        <v>6.1780941232008697</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29.25" thickBot="1" x14ac:dyDescent="0.25">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(AD89*AC83)/SQRT(1+(((AD89*AC83)/(AE89*Z85))^2))</f>
        <v>25878.545875302574</v>
      </c>
      <c r="AQ85" t="s">
        <v>235</v>
      </c>
      <c r="AX85" s="141" t="s">
        <v>393</v>
      </c>
      <c r="BJ85" t="s">
        <v>385</v>
      </c>
      <c r="BK85">
        <v>1</v>
      </c>
      <c r="BL85">
        <v>1</v>
      </c>
    </row>
    <row r="86" spans="3:64" ht="15" thickBot="1" x14ac:dyDescent="0.25">
      <c r="AX86" s="127">
        <f>(AI83+D89)^0.85</f>
        <v>2.544210651641051</v>
      </c>
      <c r="BJ86" t="s">
        <v>382</v>
      </c>
      <c r="BK86">
        <v>0.85</v>
      </c>
      <c r="BL86">
        <v>0.85</v>
      </c>
    </row>
    <row r="87" spans="3:64" x14ac:dyDescent="0.2">
      <c r="BJ87" t="s">
        <v>383</v>
      </c>
      <c r="BK87">
        <v>0.7</v>
      </c>
      <c r="BL87">
        <v>0.7</v>
      </c>
    </row>
    <row r="88" spans="3:64" ht="43.5" thickBot="1" x14ac:dyDescent="0.25">
      <c r="C88" s="50" t="s">
        <v>90</v>
      </c>
      <c r="D88" s="141" t="s">
        <v>392</v>
      </c>
      <c r="E88" s="53" t="s">
        <v>173</v>
      </c>
      <c r="F88" s="53" t="s">
        <v>174</v>
      </c>
      <c r="I88" s="441" t="s">
        <v>250</v>
      </c>
      <c r="J88" s="441"/>
      <c r="K88" s="441"/>
      <c r="L88" s="441"/>
      <c r="AD88" s="53" t="s">
        <v>388</v>
      </c>
      <c r="AE88" s="53" t="s">
        <v>389</v>
      </c>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C89" s="42" t="str">
        <f>'LOCK-T'!$I$97</f>
        <v>LOCK-T 50 135</v>
      </c>
      <c r="D89" s="127">
        <f>VLOOKUP(C89,Data!AA32:AC50,3,FALSE)</f>
        <v>1</v>
      </c>
      <c r="E89">
        <f>INDEX(Data!$I$64:$O$75,MATCH(VLOOKUP(C89,Data!$AA$4:$AD$24,4,FALSE),Data!$I$64:$I$75,0),MATCH(D91,Data!$I$64:$O$64,0))</f>
        <v>1.4</v>
      </c>
      <c r="F89">
        <f>INDEX(Data!$I$79:$O$90,MATCH(VLOOKUP(C89,Data!$AA$4:$AD$24,4,FALSE),Data!$I$79:$I$90,0),MATCH(D91,Data!$I$79:$O$79,0))</f>
        <v>4</v>
      </c>
      <c r="J89" t="s">
        <v>249</v>
      </c>
      <c r="K89" t="s">
        <v>248</v>
      </c>
      <c r="M89" s="53" t="s">
        <v>110</v>
      </c>
      <c r="AD89" s="45">
        <f>AD83+E89</f>
        <v>10.200000000000001</v>
      </c>
      <c r="AE89" s="45">
        <f>AE83+F89</f>
        <v>57</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29.25" thickBot="1" x14ac:dyDescent="0.25">
      <c r="D90" s="51" t="s">
        <v>51</v>
      </c>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1" spans="3:64" ht="14.25" x14ac:dyDescent="0.2">
      <c r="D91" s="42">
        <f>D38</f>
        <v>2</v>
      </c>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(BE113*BA107)/SQRT(1+(((BE113*BA107)/(BF113*AX107))^2))</f>
        <v>60695.903656027469</v>
      </c>
      <c r="BE107" s="46" t="str">
        <f>'LOCK-T'!H138</f>
        <v>2 x LOCKSTOP100</v>
      </c>
      <c r="BF107" s="44">
        <f>VLOOKUP(VLOOKUP(BE107,Data!BA4:BB16,2,FALSE),Data!$I$133:$L$141,4,FALSE)*VLOOKUP(BE107,Data!BA4:BC16,3,FALSE)</f>
        <v>1554</v>
      </c>
      <c r="BG107" s="47">
        <f>MIN(AF109,BD107,BF107)/1000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M114</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(AD113*AC107)/SQRT(1+(((AD113*AC107)/(AE113*Z109))^2))</f>
        <v>40464.394887481736</v>
      </c>
    </row>
    <row r="112" spans="3:59" ht="29.25" thickBot="1" x14ac:dyDescent="0.25">
      <c r="C112" s="50" t="s">
        <v>90</v>
      </c>
      <c r="D112" s="51" t="s">
        <v>51</v>
      </c>
      <c r="E112" s="53" t="s">
        <v>97</v>
      </c>
      <c r="F112" s="53" t="s">
        <v>173</v>
      </c>
      <c r="G112" s="53" t="s">
        <v>174</v>
      </c>
      <c r="I112" s="441" t="s">
        <v>250</v>
      </c>
      <c r="J112" s="441"/>
      <c r="K112" s="441"/>
      <c r="L112" s="441"/>
      <c r="AD112" s="53" t="s">
        <v>388</v>
      </c>
      <c r="AE112" s="53" t="s">
        <v>389</v>
      </c>
      <c r="AG112" s="441" t="s">
        <v>250</v>
      </c>
      <c r="AH112" s="441"/>
      <c r="AI112" s="441"/>
      <c r="AJ112" s="441"/>
      <c r="BB112" s="28" t="s">
        <v>173</v>
      </c>
      <c r="BC112" s="28" t="s">
        <v>174</v>
      </c>
      <c r="BE112" s="53" t="s">
        <v>388</v>
      </c>
      <c r="BF112" s="53" t="s">
        <v>389</v>
      </c>
    </row>
    <row r="113" spans="3:58" ht="29.25" thickBot="1" x14ac:dyDescent="0.25">
      <c r="C113" s="42" t="str">
        <f>'LOCK-T'!$I$97</f>
        <v>LOCK-T 50 135</v>
      </c>
      <c r="D113" s="42">
        <f>VLOOKUP(C113,Data!$AA$4:$AF$24,6,FALSE)</f>
        <v>2</v>
      </c>
      <c r="E113" s="43">
        <f>VLOOKUP(VLOOKUP(C113,Data!$AA$4:$AD$24,4,FALSE),Data!$I$4:$S$15,5,FALSE)*D113</f>
        <v>6</v>
      </c>
      <c r="F113" s="45">
        <f>INDEX(Data!$I$103:$O$114,MATCH(VLOOKUP(C113,Data!$AA$4:$AD$24,4,FALSE),Data!$I$103:$I$114,0),MATCH(D113,Data!$I$103:$O$103,0))</f>
        <v>3.8</v>
      </c>
      <c r="G113" s="45">
        <f>INDEX(Data!$I$117:$O$128,MATCH(VLOOKUP(C113,Data!$AA$4:$AD$24,4,FALSE),Data!$I$117:$I$128,0),MATCH(D113,Data!$I$117:$O$117,0))</f>
        <v>4.5999999999999996</v>
      </c>
      <c r="J113" t="s">
        <v>249</v>
      </c>
      <c r="K113" t="s">
        <v>248</v>
      </c>
      <c r="M113" s="53" t="s">
        <v>110</v>
      </c>
      <c r="AD113" s="45">
        <f>AD107+F113</f>
        <v>16.399999999999999</v>
      </c>
      <c r="AE113" s="45">
        <f>AE107+G113</f>
        <v>65.599999999999994</v>
      </c>
      <c r="AH113" t="s">
        <v>249</v>
      </c>
      <c r="AI113" t="s">
        <v>248</v>
      </c>
      <c r="AK113" s="53" t="s">
        <v>110</v>
      </c>
      <c r="BB113">
        <f>INDEX(Data!$I$103:$O$114,MATCH(VLOOKUP(C113,Data!$AA$4:$AD$24,4,FALSE),Data!$I$103:$I$114,0),MATCH(D113,Data!$I$103:$O$103,0))</f>
        <v>3.8</v>
      </c>
      <c r="BC113">
        <f>INDEX(Data!$I$117:$O$128,MATCH(VLOOKUP(C113,Data!$AA$4:$AD$24,4,FALSE),Data!$I$117:$I$128,0),MATCH(D113,Data!$I$117:$O$117,0))</f>
        <v>4.5999999999999996</v>
      </c>
      <c r="BE113" s="160">
        <f>BB107+BB113</f>
        <v>16.399999999999999</v>
      </c>
      <c r="BF113" s="160">
        <f>BC107+BC113</f>
        <v>65.599999999999994</v>
      </c>
    </row>
    <row r="114" spans="3:58"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5" spans="3:58" ht="29.25" thickBot="1" x14ac:dyDescent="0.25">
      <c r="D115" s="52" t="s">
        <v>92</v>
      </c>
      <c r="E115" s="51" t="s">
        <v>51</v>
      </c>
      <c r="F115" s="51" t="s">
        <v>93</v>
      </c>
    </row>
    <row r="116" spans="3:58" ht="14.25" x14ac:dyDescent="0.2">
      <c r="D116" s="43">
        <f>IF(OR(C113="Lock-T 80",C113="Lock-T 100",C113="Lock-T 120"),17.5,25)</f>
        <v>25</v>
      </c>
      <c r="E116" s="43">
        <f>D113</f>
        <v>2</v>
      </c>
      <c r="F116" s="43">
        <f>D116*E116</f>
        <v>50</v>
      </c>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3:58"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McKySYlncVAFXWxpO+Eq5sBp0KkUJb7TLsl9J2yhCWj2I9mm+1ziuaehQm614w+9OLkBZSnLaVXH6H+Ou9StqQ==" saltValue="v4XZypbNfG1+HrFMaZ2yQw==" spinCount="100000" sheet="1" objects="1" scenarios="1" selectLockedCells="1"/>
  <mergeCells count="23">
    <mergeCell ref="C30:H30"/>
    <mergeCell ref="I30:AF30"/>
    <mergeCell ref="AG30:AY30"/>
    <mergeCell ref="C2:F2"/>
    <mergeCell ref="C4:H4"/>
    <mergeCell ref="I4:AF4"/>
    <mergeCell ref="AG4:AR4"/>
    <mergeCell ref="I11:L11"/>
    <mergeCell ref="AG11:AJ11"/>
    <mergeCell ref="BD34:BD35"/>
    <mergeCell ref="BE34:BE35"/>
    <mergeCell ref="BE105:BF105"/>
    <mergeCell ref="I112:L112"/>
    <mergeCell ref="AG112:AJ112"/>
    <mergeCell ref="I37:L37"/>
    <mergeCell ref="C105:H105"/>
    <mergeCell ref="I105:AF105"/>
    <mergeCell ref="AG105:BD105"/>
    <mergeCell ref="C81:H81"/>
    <mergeCell ref="I81:AF81"/>
    <mergeCell ref="AG81:BD81"/>
    <mergeCell ref="I88:L88"/>
    <mergeCell ref="AG88:AJ88"/>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7AAAFC3-F539-4FC3-8143-9ADE7372A04D}">
          <x14:formula1>
            <xm:f>Data!$B$4:$B$34</xm:f>
          </x14:formula1>
          <xm:sqref>I6 AG6 I32 AG32 I83 AG83</xm:sqref>
        </x14:dataValidation>
        <x14:dataValidation type="list" allowBlank="1" showInputMessage="1" showErrorMessage="1" xr:uid="{645A40D2-2A3B-44F2-B948-E49C634AB924}">
          <x14:formula1>
            <xm:f>Screws!$C$6:$C$29</xm:f>
          </x14:formula1>
          <xm:sqref>J6 AH6 J32 AH32 J83 AH83</xm:sqref>
        </x14:dataValidation>
        <x14:dataValidation type="list" allowBlank="1" showInputMessage="1" showErrorMessage="1" xr:uid="{D4130E9E-C338-4977-9B5A-519900D70A28}">
          <x14:formula1>
            <xm:f>Data!$W$3:$W$12</xm:f>
          </x14:formula1>
          <xm:sqref>F6 F32 F83 F107</xm:sqref>
        </x14:dataValidation>
        <x14:dataValidation type="list" allowBlank="1" showInputMessage="1" showErrorMessage="1" xr:uid="{491E57A1-B982-4904-9AD0-6FDEFC5E6A2D}">
          <x14:formula1>
            <xm:f>Data!$I$4:$I$12</xm:f>
          </x14:formula1>
          <xm:sqref>C6 C32 C83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A8911-8528-4929-A19E-AA5E2518F30A}">
  <sheetPr codeName="Foglio9">
    <tabColor rgb="FF00B050"/>
  </sheetPr>
  <dimension ref="B2:BC32"/>
  <sheetViews>
    <sheetView showGridLines="0" topLeftCell="T1"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0.4*R6*(L6-G6)*K6+MIN(0.4*R6*(L6-G6)*K6,IF(H6="CLT",1,5/6)*MIN(O6,Y6)/4)</f>
        <v>2649.0446021589028</v>
      </c>
      <c r="AA6" s="46">
        <f>1.15*SQRT(2*N6*R6*K6)+MIN(1.15*SQRT(2*N6*R6*K6),IF(H6="CLT",1,5/6)*MIN(O6,Y6)/4)</f>
        <v>2617.1958117017621</v>
      </c>
      <c r="AB6" s="46">
        <f>MIN(Z6,AA6)</f>
        <v>2617.1958117017621</v>
      </c>
      <c r="AC6" s="46">
        <f>J6*AB6</f>
        <v>94219.049221263442</v>
      </c>
      <c r="AD6" s="42" t="str">
        <f>'LOCK-T'!H71</f>
        <v>GL24h</v>
      </c>
      <c r="AE6" s="42" t="str">
        <f>'LOCK-T'!H141</f>
        <v>LBS Ø 5 x 60</v>
      </c>
      <c r="AF6" s="178">
        <f>IF('LOCK-T'!H99=2,Uplift!AG30+Uplift!AG31,Uplift!AG30)</f>
        <v>3</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2783.5146431911749</v>
      </c>
      <c r="AW6" s="46">
        <f>1.15*SQRT(2*AK6*AO6*AH6)+MIN(1.15*SQRT(2*AK6*AO6*AH6),MIN(AL6,AU6)/4)</f>
        <v>1938.9655675321919</v>
      </c>
      <c r="AX6" s="46">
        <f>MIN(AV6,AW6)</f>
        <v>1938.9655675321919</v>
      </c>
      <c r="AY6" s="46">
        <f>AF6*AX6</f>
        <v>5816.8967025965758</v>
      </c>
      <c r="AZ6" s="44">
        <f>VLOOKUP(VLOOKUP(B6,Data!$AA$4:$AD$24,4,FALSE),Data!$I$4:$S$15,8,FALSE)*E6</f>
        <v>144</v>
      </c>
      <c r="BA6" s="46">
        <f>(MAX(0.9*AF6,AF6^0.9)*1.25*AU6)/SQRT(2)</f>
        <v>7232.1933932205457</v>
      </c>
      <c r="BB6" s="46">
        <f>VLOOKUP(VLOOKUP(B6,Data!$AA$4:$AD$24,4,FALSE),Data!$I$4:$S$15,9,FALSE)*1000*(E6)</f>
        <v>96000</v>
      </c>
      <c r="BC6" s="47">
        <f>MIN(AC6,BA6,BB6*0.5)/1000</f>
        <v>7.2321933932205456</v>
      </c>
    </row>
    <row r="7" spans="2:55" ht="51.95" customHeight="1" thickBot="1" x14ac:dyDescent="0.25">
      <c r="Y7" s="53" t="s">
        <v>242</v>
      </c>
    </row>
    <row r="8" spans="2:55" ht="14.25" x14ac:dyDescent="0.2">
      <c r="G8">
        <f>G6</f>
        <v>8</v>
      </c>
      <c r="H8" t="str">
        <f t="shared" ref="H8:P8" si="0">H6</f>
        <v>GL22h</v>
      </c>
      <c r="I8" t="str">
        <f t="shared" si="0"/>
        <v>LBS Ø 7 x 80</v>
      </c>
      <c r="J8">
        <f t="shared" si="0"/>
        <v>36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1849.4585257983201</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5" thickBot="1" x14ac:dyDescent="0.3">
      <c r="AT23" t="s">
        <v>330</v>
      </c>
    </row>
    <row r="24" spans="8:46" x14ac:dyDescent="0.2">
      <c r="AF24" s="245"/>
      <c r="AG24" s="246"/>
      <c r="AH24" s="246"/>
      <c r="AI24" s="247"/>
    </row>
    <row r="25" spans="8:46" x14ac:dyDescent="0.2">
      <c r="AF25" s="248"/>
      <c r="AI25" s="249"/>
    </row>
    <row r="26" spans="8:46" x14ac:dyDescent="0.2">
      <c r="AF26" s="248"/>
      <c r="AG26" t="s">
        <v>379</v>
      </c>
      <c r="AI26" s="249"/>
    </row>
    <row r="27" spans="8:46" x14ac:dyDescent="0.2">
      <c r="AF27" s="248"/>
      <c r="AI27" s="249"/>
    </row>
    <row r="28" spans="8:46" x14ac:dyDescent="0.2">
      <c r="AF28" s="248"/>
      <c r="AI28" s="249"/>
    </row>
    <row r="29" spans="8:46" x14ac:dyDescent="0.2">
      <c r="AF29" s="248"/>
      <c r="AG29" t="str">
        <f>IF('LOCK-T'!H65="Viti inclinate","Viti inclinate","uplift")</f>
        <v>uplift</v>
      </c>
      <c r="AI29" s="249"/>
    </row>
    <row r="30" spans="8:46" x14ac:dyDescent="0.2">
      <c r="AF30" s="248"/>
      <c r="AG30">
        <f>IF('LOCK-T'!H65='LOCK-T'!AB62,VLOOKUP(B6,Data!AA32:AC50,3,FALSE),VLOOKUP(B6,Data!AA32:AC50,2,FALSE))</f>
        <v>3</v>
      </c>
      <c r="AH30" t="s">
        <v>380</v>
      </c>
      <c r="AI30" s="249"/>
    </row>
    <row r="31" spans="8:46" x14ac:dyDescent="0.2">
      <c r="AF31" s="248"/>
      <c r="AG31">
        <f>IF('LOCK-T'!H65='LOCK-T'!AB62,VLOOKUP('LOCK-T'!I97,Data!AA32:AC50,3,FALSE),VLOOKUP('LOCK-T'!I97,Data!AA32:AC50,2,FALSE))</f>
        <v>1</v>
      </c>
      <c r="AH31" t="s">
        <v>378</v>
      </c>
      <c r="AI31" s="249"/>
    </row>
    <row r="32" spans="8:46" ht="13.5" thickBot="1" x14ac:dyDescent="0.25">
      <c r="AF32" s="250"/>
      <c r="AG32" s="251"/>
      <c r="AH32" s="251"/>
      <c r="AI32" s="252"/>
    </row>
  </sheetData>
  <sheetProtection algorithmName="SHA-512" hashValue="HElctTw17OtWO8UfpXIKMvxkOjCQaT0U8dzyU0niyJkTeeD3LTjBBheFTKYGNiEjzqCi+NmMgPw3rprhsSUm5w==" saltValue="P22Hwjuq0E80DiOs3AMJvA=="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BA0DAAB-E41F-40B7-A1C3-8F40EA659CDE}">
          <x14:formula1>
            <xm:f>Data!$I$4:$I$12</xm:f>
          </x14:formula1>
          <xm:sqref>B6</xm:sqref>
        </x14:dataValidation>
        <x14:dataValidation type="list" allowBlank="1" showInputMessage="1" showErrorMessage="1" xr:uid="{25C3EAEB-44B6-498C-8955-B9F0FCE8D2F6}">
          <x14:formula1>
            <xm:f>Data!$W$3:$W$12</xm:f>
          </x14:formula1>
          <xm:sqref>E6</xm:sqref>
        </x14:dataValidation>
        <x14:dataValidation type="list" allowBlank="1" showInputMessage="1" showErrorMessage="1" xr:uid="{B68EADCA-6502-4BEA-893E-38D29C6285C6}">
          <x14:formula1>
            <xm:f>Screws!$C$6:$C$29</xm:f>
          </x14:formula1>
          <xm:sqref>I6 AE6</xm:sqref>
        </x14:dataValidation>
        <x14:dataValidation type="list" allowBlank="1" showInputMessage="1" showErrorMessage="1" xr:uid="{59FF7A84-54E2-44C8-9BFA-D9783135DE5A}">
          <x14:formula1>
            <xm:f>Data!$B$4:$B$34</xm:f>
          </x14:formula1>
          <xm:sqref>H6 AD6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CADA-C05F-4319-9ECD-C2FD63D87613}">
  <sheetPr codeName="Foglio10">
    <tabColor rgb="FFF9ADAD"/>
  </sheetPr>
  <dimension ref="B2:BC23"/>
  <sheetViews>
    <sheetView showGridLines="0"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0.4*R6*(L6-G6)*K6+MIN(0.4*R6*(L6-G6)*K6,IF(H6="CLT",1,5/6)*MIN(O6,Y6)/4)</f>
        <v>2685.8368882999985</v>
      </c>
      <c r="AA6" s="46">
        <f>1.15*SQRT(2*N6*R6*K6)+MIN(1.15*SQRT(2*N6*R6*K6),IF(H6="CLT",1,5/6)*MIN(O6,Y6)/4)</f>
        <v>2635.0339533471933</v>
      </c>
      <c r="AB6" s="46">
        <f>MIN(Z6,AA6)</f>
        <v>2635.0339533471933</v>
      </c>
      <c r="AC6" s="46">
        <f>J6*AB6</f>
        <v>15810.20372008316</v>
      </c>
      <c r="AD6" s="42" t="str">
        <f>'LOCK-T'!H71</f>
        <v>GL24h</v>
      </c>
      <c r="AE6" s="42" t="str">
        <f>'LOCK-T'!I141</f>
        <v>LBS Ø 5 x 60</v>
      </c>
      <c r="AF6" s="178">
        <f>VLOOKUP(B6,Data!AA4:AL24,12,FALSE)</f>
        <v>1</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2822.4741612833163</v>
      </c>
      <c r="AW6" s="46">
        <f>1.15*SQRT(2*AK6*AO6*AH6)+MIN(1.15*SQRT(2*AK6*AO6*AH6),MIN(AL6,AU6)/4)</f>
        <v>1938.9655675321919</v>
      </c>
      <c r="AX6" s="46">
        <f>MIN(AV6,AW6)</f>
        <v>1938.9655675321919</v>
      </c>
      <c r="AY6" s="46">
        <f>AF6*AX6</f>
        <v>1938.9655675321919</v>
      </c>
      <c r="AZ6" s="44">
        <f>VLOOKUP(VLOOKUP(B6,Data!$AA$4:$AD$24,4,FALSE),Data!$I$4:$S$15,8,FALSE)*E6</f>
        <v>10.6</v>
      </c>
      <c r="BA6" s="46">
        <f>(MAX(0.9*AF6,AF6^0.9)*1.25*AU6)/SQRT(2)</f>
        <v>2678.5901456372389</v>
      </c>
      <c r="BB6" s="46">
        <f>VLOOKUP(VLOOKUP(B6,Data!$AA$4:$AD$24,4,FALSE),Data!$I$4:$S$15,9,FALSE)*1000*(E6)</f>
        <v>30000</v>
      </c>
      <c r="BC6" s="47">
        <f>MIN(AC6,BA6,BB6*0.5)/1000</f>
        <v>2.678590145637239</v>
      </c>
    </row>
    <row r="7" spans="2:55" ht="51.95" customHeight="1" thickBot="1" x14ac:dyDescent="0.25">
      <c r="Y7" s="53" t="s">
        <v>242</v>
      </c>
    </row>
    <row r="8" spans="2:55" ht="14.25" x14ac:dyDescent="0.2">
      <c r="G8">
        <f>G6</f>
        <v>7</v>
      </c>
      <c r="H8" t="str">
        <f t="shared" ref="H8:P8" si="0">H6</f>
        <v>GL22h</v>
      </c>
      <c r="I8" t="str">
        <f t="shared" si="0"/>
        <v>LBS Ø 7 x 80</v>
      </c>
      <c r="J8">
        <f t="shared" si="0"/>
        <v>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1875.1454497677414</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4.25" x14ac:dyDescent="0.25">
      <c r="AT23" t="s">
        <v>330</v>
      </c>
    </row>
  </sheetData>
  <sheetProtection algorithmName="SHA-512" hashValue="+DLHzm2S4q5bXyT5q7BVWQh0H9QmxO2SLTLOgFpjgN5lQydD3VPknXIVHYRDV6h3V8fPFklQgMB3v6I81dt2sw==" saltValue="wUkdAy3X47Pm6R9SfGzRWw=="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14109A2-2201-41A4-B321-F681461FD34C}">
          <x14:formula1>
            <xm:f>Data!$B$4:$B$34</xm:f>
          </x14:formula1>
          <xm:sqref>H6 AD6</xm:sqref>
        </x14:dataValidation>
        <x14:dataValidation type="list" allowBlank="1" showInputMessage="1" showErrorMessage="1" xr:uid="{21E112D4-2BAB-4C73-B059-AB96D67BCDCB}">
          <x14:formula1>
            <xm:f>Screws!$C$6:$C$29</xm:f>
          </x14:formula1>
          <xm:sqref>I6 AE6</xm:sqref>
        </x14:dataValidation>
        <x14:dataValidation type="list" allowBlank="1" showInputMessage="1" showErrorMessage="1" xr:uid="{C898CDDE-99F3-45B8-8A4E-2F3E06190275}">
          <x14:formula1>
            <xm:f>Data!$W$3:$W$12</xm:f>
          </x14:formula1>
          <xm:sqref>E6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72D2F-9419-42F1-84BE-988B4BDFFC7B}">
  <sheetPr codeName="Foglio11">
    <tabColor rgb="FF00B050"/>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1849.4585257983201</v>
      </c>
      <c r="Z6" s="44">
        <f>VLOOKUP(VLOOKUP(B6,Data!$AA$4:$AD$24,4,FALSE),Data!$I$4:$S$15,11,FALSE)</f>
        <v>0.55000000000000004</v>
      </c>
      <c r="AA6" s="46">
        <f>Y6/Z6</f>
        <v>3362.6518650878543</v>
      </c>
      <c r="AB6" s="46">
        <f>VLOOKUP(I6,Screws!$C$6:$J$34,8,FALSE)</f>
        <v>19200</v>
      </c>
      <c r="AC6" s="42" t="str">
        <f>'LOCK-T'!H71</f>
        <v>GL24h</v>
      </c>
      <c r="AD6" s="42" t="str">
        <f>'LOCK-T'!H111</f>
        <v>LBS Ø 7 x 80</v>
      </c>
      <c r="AE6" s="43">
        <f>VLOOKUP(VLOOKUP(B6,Data!$AA$4:$AD$24,4,FALSE),Data!$I$4:$S$15,5,FALSE)*E6</f>
        <v>36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6364.0055001584997</v>
      </c>
      <c r="AU6" s="44">
        <f>VLOOKUP(VLOOKUP(B6,Data!$AA$4:$AD$24,4,FALSE),Data!$I$4:$S$15,11,FALSE)</f>
        <v>0.55000000000000004</v>
      </c>
      <c r="AV6" s="46">
        <f>AT6/AU6</f>
        <v>11570.919091197271</v>
      </c>
      <c r="AW6" s="46">
        <f>VLOOKUP(AD6,Screws!$C$6:$J$34,8,FALSE)</f>
        <v>19200</v>
      </c>
      <c r="AX6" s="46">
        <f>E6*MIN(AV6,AW6)</f>
        <v>46283.676364789084</v>
      </c>
      <c r="AY6" s="46">
        <f>E6*MIN(AA6,AB6)</f>
        <v>13450.607460351417</v>
      </c>
      <c r="AZ6" s="46">
        <f>E6*VLOOKUP(VLOOKUP(B6,Data!$AA$4:$AD$24,4,FALSE),Data!$I$4:$S$15,10,FALSE)*1000</f>
        <v>11200</v>
      </c>
      <c r="BA6" s="47">
        <f>MIN(AZ6,AX6,AY6)/1000</f>
        <v>11.2</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gDm2XtfHEdfhXkhBt8oOeE7+XLqbTN+WXGpEcK3B5ss7O9EJtzlOOeA9FCG0Y4TMSVSXBb0e77012Ip1u3cnw==" saltValue="e4yijrrEab9XIdzH7+Ozcg=="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EFB75EA-98F3-4E4E-BAA8-C6646E47292B}">
          <x14:formula1>
            <xm:f>Data!$I$4:$I$12</xm:f>
          </x14:formula1>
          <xm:sqref>B6</xm:sqref>
        </x14:dataValidation>
        <x14:dataValidation type="list" allowBlank="1" showInputMessage="1" showErrorMessage="1" xr:uid="{C7B12B92-94A4-4F65-B751-F099B5504712}">
          <x14:formula1>
            <xm:f>Data!$W$3:$W$12</xm:f>
          </x14:formula1>
          <xm:sqref>E6</xm:sqref>
        </x14:dataValidation>
        <x14:dataValidation type="list" allowBlank="1" showInputMessage="1" showErrorMessage="1" xr:uid="{36AB3E34-9B21-4C18-AE3F-ECB8783C103A}">
          <x14:formula1>
            <xm:f>Screws!$C$6:$C$29</xm:f>
          </x14:formula1>
          <xm:sqref>I6 AD6</xm:sqref>
        </x14:dataValidation>
        <x14:dataValidation type="list" allowBlank="1" showInputMessage="1" showErrorMessage="1" xr:uid="{E37E9D53-00A5-42ED-BC6D-67188E51B9F9}">
          <x14:formula1>
            <xm:f>Data!$B$4:$B$34</xm:f>
          </x14:formula1>
          <xm:sqref>H6 AC6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1651-4DA3-4D1D-8C30-285784C8C3D2}">
  <sheetPr codeName="Foglio12">
    <tabColor rgb="FFF9ADAD"/>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1875.1454497677414</v>
      </c>
      <c r="Z6" s="44">
        <f>VLOOKUP(VLOOKUP(B6,Data!$AA$4:$AD$24,4,FALSE),Data!$I$4:$S$15,11,FALSE)</f>
        <v>0.65</v>
      </c>
      <c r="AA6" s="46">
        <f>Y6/Z6</f>
        <v>2884.8391534888328</v>
      </c>
      <c r="AB6" s="46">
        <f>VLOOKUP(I6,Screws!$C$6:$J$34,8,FALSE)</f>
        <v>19200</v>
      </c>
      <c r="AC6" s="42" t="str">
        <f>'LOCK-T'!H71</f>
        <v>GL24h</v>
      </c>
      <c r="AD6" s="42" t="str">
        <f>'LOCK-T'!I111</f>
        <v>LBS Ø 7 x 80</v>
      </c>
      <c r="AE6" s="43">
        <f>VLOOKUP(VLOOKUP(B6,Data!$AA$4:$AD$24,4,FALSE),Data!$I$4:$S$15,5,FALSE)*E6</f>
        <v>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6452.3944654384795</v>
      </c>
      <c r="AU6" s="44">
        <f>VLOOKUP(VLOOKUP(B6,Data!$AA$4:$AD$24,4,FALSE),Data!$I$4:$S$15,11,FALSE)</f>
        <v>0.65</v>
      </c>
      <c r="AV6" s="46">
        <f>AT6/AU6</f>
        <v>9926.7607160591997</v>
      </c>
      <c r="AW6" s="46">
        <f>VLOOKUP(AD6,Screws!$C$6:$J$34,8,FALSE)</f>
        <v>19200</v>
      </c>
      <c r="AX6" s="46">
        <f>E6*MIN(AV6,AW6)</f>
        <v>19853.521432118399</v>
      </c>
      <c r="AY6" s="46">
        <f>E6*MIN(AA6,AB6)</f>
        <v>5769.6783069776657</v>
      </c>
      <c r="AZ6" s="46">
        <f>E6*VLOOKUP(VLOOKUP(B6,Data!$AA$4:$AD$24,4,FALSE),Data!$I$4:$S$15,10,FALSE)*1000</f>
        <v>5400</v>
      </c>
      <c r="BA6" s="47">
        <f>MIN(AZ6,AX6,AY6)/1000</f>
        <v>5.4</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v+HyRSBXHzSOTveuRj0K/SsUCmG6CTPYH2l3hHAtHgcRaM6p5wJB+7wCh1X37MIhPJYAVlnFTcf4NTqf4F8yNg==" saltValue="/Hy9+FP5plou7ldZ23G4kA=="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CF8AB6D-B702-48A4-9198-A249F4111394}">
          <x14:formula1>
            <xm:f>Data!$B$4:$B$34</xm:f>
          </x14:formula1>
          <xm:sqref>H6 AC6</xm:sqref>
        </x14:dataValidation>
        <x14:dataValidation type="list" allowBlank="1" showInputMessage="1" showErrorMessage="1" xr:uid="{032A0BAB-5604-47B0-A1C6-43D30D4586FF}">
          <x14:formula1>
            <xm:f>Screws!$C$6:$C$29</xm:f>
          </x14:formula1>
          <xm:sqref>I6 AD6</xm:sqref>
        </x14:dataValidation>
        <x14:dataValidation type="list" allowBlank="1" showInputMessage="1" showErrorMessage="1" xr:uid="{F0284544-2680-485C-BB97-E475F5BFD494}">
          <x14:formula1>
            <xm:f>Data!$W$3:$W$12</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59F7-8565-4158-912D-B3FACB3E232E}">
  <sheetPr codeName="Foglio4">
    <tabColor rgb="FFFFC000"/>
    <pageSetUpPr fitToPage="1"/>
  </sheetPr>
  <dimension ref="A1:AZ300"/>
  <sheetViews>
    <sheetView showGridLines="0" showRowColHeaders="0" showRuler="0" showWhiteSpace="0" view="pageBreakPreview" topLeftCell="C1" zoomScale="85" zoomScaleNormal="100" zoomScaleSheetLayoutView="85" zoomScalePageLayoutView="55" workbookViewId="0">
      <selection activeCell="M34" sqref="M34:M35"/>
    </sheetView>
  </sheetViews>
  <sheetFormatPr defaultColWidth="15.625" defaultRowHeight="20.100000000000001" customHeight="1" x14ac:dyDescent="0.2"/>
  <cols>
    <col min="1" max="2" width="15.625" style="99" hidden="1" customWidth="1"/>
    <col min="3" max="3" width="15.625" style="99"/>
    <col min="4" max="4" width="2.625" style="99" customWidth="1"/>
    <col min="5" max="5" width="57.5" style="99" bestFit="1" customWidth="1"/>
    <col min="6" max="6" width="9.375" style="99" bestFit="1" customWidth="1"/>
    <col min="7" max="7" width="10.625" style="99" bestFit="1" customWidth="1"/>
    <col min="8" max="8" width="27.25" style="101" bestFit="1" customWidth="1"/>
    <col min="9" max="9" width="27.25" style="101" customWidth="1"/>
    <col min="10" max="10" width="2.625" style="99" customWidth="1"/>
    <col min="11" max="13" width="15.625" style="99" customWidth="1"/>
    <col min="14" max="14" width="2.625" style="99" customWidth="1"/>
    <col min="15" max="15" width="15.625" style="99" customWidth="1"/>
    <col min="16" max="32" width="15.625" style="99" hidden="1" customWidth="1"/>
    <col min="33" max="33" width="22" style="99" hidden="1" customWidth="1"/>
    <col min="34" max="52" width="15.625" style="99" hidden="1" customWidth="1"/>
    <col min="53" max="63" width="15.625" style="99" customWidth="1"/>
    <col min="64" max="16384" width="15.625" style="99"/>
  </cols>
  <sheetData>
    <row r="1" spans="4:14" ht="20.100000000000001" customHeight="1" thickBot="1" x14ac:dyDescent="0.25"/>
    <row r="2" spans="4:14" ht="20.100000000000001" customHeight="1" x14ac:dyDescent="0.2">
      <c r="D2" s="271"/>
      <c r="E2" s="403" t="str">
        <f>Translation!B17</f>
        <v>USE PERCENTAGE OF CONNECTION</v>
      </c>
      <c r="F2" s="403"/>
      <c r="G2" s="403"/>
      <c r="H2" s="403"/>
      <c r="I2" s="403"/>
      <c r="J2" s="403"/>
      <c r="K2" s="403"/>
      <c r="L2" s="403"/>
      <c r="M2" s="403"/>
      <c r="N2" s="272"/>
    </row>
    <row r="3" spans="4:14" ht="20.100000000000001" customHeight="1" x14ac:dyDescent="0.2">
      <c r="D3" s="273"/>
      <c r="E3" s="274" t="str">
        <f>Translation!B18</f>
        <v>6.1 Vertical shear (Fv)</v>
      </c>
      <c r="F3" s="406">
        <f>H185</f>
        <v>6.8988172282819782E-2</v>
      </c>
      <c r="G3" s="406"/>
      <c r="H3" s="406"/>
      <c r="I3" s="274" t="str">
        <f>Translation!B21</f>
        <v>6.3 Axial (Fax)</v>
      </c>
      <c r="J3" s="406">
        <f>H216</f>
        <v>0.24162477490924331</v>
      </c>
      <c r="K3" s="406"/>
      <c r="L3" s="406"/>
      <c r="M3" s="406"/>
      <c r="N3" s="276"/>
    </row>
    <row r="4" spans="4:14" ht="20.100000000000001" customHeight="1" x14ac:dyDescent="0.2">
      <c r="D4" s="273"/>
      <c r="E4" s="274" t="str">
        <f>Translation!B19</f>
        <v>6.2 Lifting shear (Fup)</v>
      </c>
      <c r="F4" s="406">
        <f>IF(H141="NO","-",H204)</f>
        <v>0.22468978795883335</v>
      </c>
      <c r="G4" s="406"/>
      <c r="H4" s="406"/>
      <c r="I4" s="274" t="str">
        <f>Translation!B22</f>
        <v>6.4 Lateral shear load (Flat)</v>
      </c>
      <c r="J4" s="406">
        <f>H229</f>
        <v>3.4811482433590404E-2</v>
      </c>
      <c r="K4" s="406"/>
      <c r="L4" s="406"/>
      <c r="M4" s="406"/>
      <c r="N4" s="276"/>
    </row>
    <row r="5" spans="4:14" ht="20.100000000000001" customHeight="1" x14ac:dyDescent="0.2">
      <c r="D5" s="273"/>
      <c r="E5" s="274" t="str">
        <f>Translation!B20</f>
        <v>7. Combined load</v>
      </c>
      <c r="F5" s="406">
        <f>H242</f>
        <v>6.3141899764866519E-2</v>
      </c>
      <c r="G5" s="406"/>
      <c r="H5" s="406"/>
      <c r="I5" s="274"/>
      <c r="J5" s="275"/>
      <c r="K5" s="277"/>
      <c r="L5" s="278"/>
      <c r="M5" s="278"/>
      <c r="N5" s="276"/>
    </row>
    <row r="6" spans="4:14" ht="9.9499999999999993" customHeight="1" thickBot="1" x14ac:dyDescent="0.25">
      <c r="D6" s="279"/>
      <c r="E6" s="280"/>
      <c r="F6" s="280"/>
      <c r="G6" s="280"/>
      <c r="H6" s="404"/>
      <c r="I6" s="404"/>
      <c r="J6" s="405"/>
      <c r="K6" s="405"/>
      <c r="L6" s="280"/>
      <c r="M6" s="280"/>
      <c r="N6" s="281"/>
    </row>
    <row r="7" spans="4:14" ht="20.100000000000001" hidden="1" customHeight="1" thickBot="1" x14ac:dyDescent="0.25"/>
    <row r="8" spans="4:14" ht="20.100000000000001" customHeight="1" x14ac:dyDescent="0.2">
      <c r="D8" s="187"/>
      <c r="E8" s="188"/>
      <c r="F8" s="188"/>
      <c r="G8" s="188"/>
      <c r="H8" s="188"/>
      <c r="I8" s="188"/>
      <c r="J8" s="188"/>
      <c r="K8" s="188"/>
      <c r="L8" s="189"/>
      <c r="M8" s="189"/>
      <c r="N8" s="210"/>
    </row>
    <row r="9" spans="4:14" ht="20.100000000000001" customHeight="1" x14ac:dyDescent="0.2">
      <c r="D9" s="190"/>
      <c r="E9" s="192"/>
      <c r="F9" s="192"/>
      <c r="G9" s="192"/>
      <c r="H9" s="192"/>
      <c r="I9" s="192"/>
      <c r="J9" s="192"/>
      <c r="K9" s="192"/>
      <c r="L9" s="193"/>
      <c r="M9" s="193"/>
      <c r="N9" s="211"/>
    </row>
    <row r="10" spans="4:14" ht="20.100000000000001" customHeight="1" x14ac:dyDescent="0.2">
      <c r="D10" s="190"/>
      <c r="E10" s="192"/>
      <c r="F10" s="192"/>
      <c r="G10" s="192"/>
      <c r="H10" s="192"/>
      <c r="I10" s="192"/>
      <c r="J10" s="192"/>
      <c r="K10" s="192"/>
      <c r="L10" s="193"/>
      <c r="M10" s="193"/>
      <c r="N10" s="211"/>
    </row>
    <row r="11" spans="4:14" ht="20.100000000000001" customHeight="1" x14ac:dyDescent="0.2">
      <c r="D11" s="190"/>
      <c r="E11" s="192"/>
      <c r="F11" s="192"/>
      <c r="G11" s="192"/>
      <c r="H11" s="193"/>
      <c r="I11" s="193"/>
      <c r="J11" s="193"/>
      <c r="K11" s="194"/>
      <c r="L11" s="194"/>
      <c r="M11" s="195" t="s">
        <v>1342</v>
      </c>
      <c r="N11" s="211"/>
    </row>
    <row r="12" spans="4:14" ht="9.9499999999999993" customHeight="1" x14ac:dyDescent="0.2">
      <c r="D12" s="390" t="str">
        <f>Translation!B23</f>
        <v>CALCULATION OF LOCK T CONCEALED TIMBER-TO-TIMBER CONNECTOR</v>
      </c>
      <c r="E12" s="391"/>
      <c r="F12" s="391"/>
      <c r="G12" s="391"/>
      <c r="H12" s="391"/>
      <c r="I12" s="391"/>
      <c r="J12" s="391"/>
      <c r="K12" s="391"/>
      <c r="L12" s="391"/>
      <c r="M12" s="391"/>
      <c r="N12" s="224"/>
    </row>
    <row r="13" spans="4:14" ht="9.9499999999999993" customHeight="1" x14ac:dyDescent="0.2">
      <c r="D13" s="390"/>
      <c r="E13" s="391"/>
      <c r="F13" s="391"/>
      <c r="G13" s="391"/>
      <c r="H13" s="391"/>
      <c r="I13" s="391"/>
      <c r="J13" s="391"/>
      <c r="K13" s="391"/>
      <c r="L13" s="391"/>
      <c r="M13" s="391"/>
      <c r="N13" s="224"/>
    </row>
    <row r="14" spans="4:14" ht="9.9499999999999993" customHeight="1" x14ac:dyDescent="0.2">
      <c r="D14" s="390"/>
      <c r="E14" s="391"/>
      <c r="F14" s="391"/>
      <c r="G14" s="391"/>
      <c r="H14" s="391"/>
      <c r="I14" s="391"/>
      <c r="J14" s="391"/>
      <c r="K14" s="391"/>
      <c r="L14" s="391"/>
      <c r="M14" s="391"/>
      <c r="N14" s="224"/>
    </row>
    <row r="15" spans="4:14" ht="9.9499999999999993" customHeight="1" x14ac:dyDescent="0.2">
      <c r="D15" s="225"/>
      <c r="E15" s="226"/>
      <c r="F15" s="226"/>
      <c r="G15" s="226"/>
      <c r="H15" s="226"/>
      <c r="I15" s="226"/>
      <c r="J15" s="226"/>
      <c r="K15" s="226"/>
      <c r="L15" s="226"/>
      <c r="M15" s="226"/>
      <c r="N15" s="224"/>
    </row>
    <row r="16" spans="4:14" ht="20.100000000000001" customHeight="1" x14ac:dyDescent="0.2">
      <c r="D16" s="225"/>
      <c r="E16" s="226"/>
      <c r="F16" s="226"/>
      <c r="G16" s="226"/>
      <c r="H16" s="226"/>
      <c r="I16" s="226"/>
      <c r="J16" s="226"/>
      <c r="K16" s="226"/>
      <c r="L16" s="226"/>
      <c r="M16" s="226"/>
      <c r="N16" s="224"/>
    </row>
    <row r="17" spans="4:14" ht="20.100000000000001" customHeight="1" x14ac:dyDescent="0.2">
      <c r="D17" s="225"/>
      <c r="E17" s="226"/>
      <c r="F17" s="226"/>
      <c r="G17" s="226"/>
      <c r="H17" s="226"/>
      <c r="I17" s="226"/>
      <c r="J17" s="226"/>
      <c r="K17" s="226"/>
      <c r="L17" s="226"/>
      <c r="M17" s="226"/>
      <c r="N17" s="224"/>
    </row>
    <row r="18" spans="4:14" ht="20.100000000000001" customHeight="1" x14ac:dyDescent="0.2">
      <c r="D18" s="225"/>
      <c r="E18" s="226"/>
      <c r="F18" s="226"/>
      <c r="G18" s="227"/>
      <c r="H18" s="226"/>
      <c r="I18" s="226"/>
      <c r="J18" s="226"/>
      <c r="K18" s="226"/>
      <c r="L18" s="226"/>
      <c r="M18" s="226"/>
      <c r="N18" s="224"/>
    </row>
    <row r="19" spans="4:14" ht="20.100000000000001" customHeight="1" x14ac:dyDescent="0.2">
      <c r="D19" s="225"/>
      <c r="E19" s="226"/>
      <c r="F19" s="226"/>
      <c r="G19" s="226"/>
      <c r="H19" s="226"/>
      <c r="I19" s="226"/>
      <c r="J19" s="226"/>
      <c r="K19" s="226"/>
      <c r="L19" s="226"/>
      <c r="M19" s="226"/>
      <c r="N19" s="224"/>
    </row>
    <row r="20" spans="4:14" ht="20.100000000000001" customHeight="1" x14ac:dyDescent="0.2">
      <c r="D20" s="225"/>
      <c r="E20" s="226"/>
      <c r="F20" s="226"/>
      <c r="G20" s="226"/>
      <c r="H20" s="226"/>
      <c r="I20" s="226"/>
      <c r="J20" s="226"/>
      <c r="K20" s="226"/>
      <c r="L20" s="226"/>
      <c r="M20" s="226"/>
      <c r="N20" s="224"/>
    </row>
    <row r="21" spans="4:14" ht="20.100000000000001" customHeight="1" x14ac:dyDescent="0.2">
      <c r="D21" s="225"/>
      <c r="E21" s="226"/>
      <c r="F21" s="226"/>
      <c r="G21" s="226"/>
      <c r="H21" s="226"/>
      <c r="I21" s="226"/>
      <c r="J21" s="226"/>
      <c r="K21" s="226"/>
      <c r="L21" s="226"/>
      <c r="M21" s="226"/>
      <c r="N21" s="224"/>
    </row>
    <row r="22" spans="4:14" ht="20.100000000000001" customHeight="1" x14ac:dyDescent="0.2">
      <c r="D22" s="225"/>
      <c r="E22" s="226"/>
      <c r="F22" s="226"/>
      <c r="G22" s="226"/>
      <c r="H22" s="226"/>
      <c r="I22" s="226"/>
      <c r="J22" s="226"/>
      <c r="K22" s="226"/>
      <c r="L22" s="226"/>
      <c r="M22" s="226"/>
      <c r="N22" s="224"/>
    </row>
    <row r="23" spans="4:14" ht="20.100000000000001" customHeight="1" x14ac:dyDescent="0.2">
      <c r="D23" s="225"/>
      <c r="E23" s="226"/>
      <c r="F23" s="226"/>
      <c r="G23" s="226"/>
      <c r="H23" s="226"/>
      <c r="I23" s="226"/>
      <c r="J23" s="226"/>
      <c r="K23" s="226"/>
      <c r="L23" s="226"/>
      <c r="M23" s="226"/>
      <c r="N23" s="224"/>
    </row>
    <row r="24" spans="4:14" ht="20.100000000000001" customHeight="1" x14ac:dyDescent="0.2">
      <c r="D24" s="225"/>
      <c r="E24" s="226"/>
      <c r="F24" s="226"/>
      <c r="G24" s="226"/>
      <c r="H24" s="226"/>
      <c r="I24" s="226"/>
      <c r="J24" s="226"/>
      <c r="K24" s="226"/>
      <c r="L24" s="226"/>
      <c r="M24" s="226"/>
      <c r="N24" s="224"/>
    </row>
    <row r="25" spans="4:14" ht="20.100000000000001" customHeight="1" x14ac:dyDescent="0.2">
      <c r="D25" s="225"/>
      <c r="E25" s="226"/>
      <c r="F25" s="226"/>
      <c r="G25" s="226"/>
      <c r="H25" s="226"/>
      <c r="I25" s="226"/>
      <c r="J25" s="226"/>
      <c r="K25" s="226"/>
      <c r="L25" s="226"/>
      <c r="M25" s="226"/>
      <c r="N25" s="224"/>
    </row>
    <row r="26" spans="4:14" ht="20.100000000000001" customHeight="1" x14ac:dyDescent="0.2">
      <c r="D26" s="225"/>
      <c r="E26" s="226"/>
      <c r="F26" s="226"/>
      <c r="G26" s="226"/>
      <c r="H26" s="226"/>
      <c r="I26" s="226"/>
      <c r="J26" s="226"/>
      <c r="K26" s="226"/>
      <c r="L26" s="226"/>
      <c r="M26" s="226"/>
      <c r="N26" s="224"/>
    </row>
    <row r="27" spans="4:14" ht="20.100000000000001" customHeight="1" x14ac:dyDescent="0.2">
      <c r="D27" s="225"/>
      <c r="E27" s="226"/>
      <c r="F27" s="226"/>
      <c r="G27" s="226"/>
      <c r="H27" s="226"/>
      <c r="I27" s="226"/>
      <c r="J27" s="226"/>
      <c r="K27" s="226"/>
      <c r="L27" s="226"/>
      <c r="M27" s="226"/>
      <c r="N27" s="224"/>
    </row>
    <row r="28" spans="4:14" ht="20.100000000000001" customHeight="1" x14ac:dyDescent="0.2">
      <c r="D28" s="225"/>
      <c r="E28" s="226"/>
      <c r="F28" s="226"/>
      <c r="G28" s="226"/>
      <c r="H28" s="226"/>
      <c r="I28" s="226"/>
      <c r="J28" s="226"/>
      <c r="K28" s="226"/>
      <c r="L28" s="226"/>
      <c r="M28" s="226"/>
      <c r="N28" s="224"/>
    </row>
    <row r="29" spans="4:14" ht="20.100000000000001" customHeight="1" x14ac:dyDescent="0.2">
      <c r="D29" s="225"/>
      <c r="E29" s="226"/>
      <c r="F29" s="226"/>
      <c r="G29" s="226"/>
      <c r="H29" s="226"/>
      <c r="I29" s="226"/>
      <c r="J29" s="226"/>
      <c r="K29" s="226"/>
      <c r="L29" s="226"/>
      <c r="M29" s="226"/>
      <c r="N29" s="224"/>
    </row>
    <row r="30" spans="4:14" ht="9.9499999999999993" customHeight="1" x14ac:dyDescent="0.2">
      <c r="D30" s="225"/>
      <c r="E30" s="226"/>
      <c r="F30" s="226"/>
      <c r="G30" s="226"/>
      <c r="H30" s="226"/>
      <c r="I30" s="226"/>
      <c r="J30" s="226"/>
      <c r="K30" s="226"/>
      <c r="L30" s="226"/>
      <c r="M30" s="226"/>
      <c r="N30" s="224"/>
    </row>
    <row r="31" spans="4:14" ht="9.9499999999999993" customHeight="1" x14ac:dyDescent="0.2">
      <c r="D31" s="183"/>
      <c r="N31" s="184"/>
    </row>
    <row r="32" spans="4:14" ht="30" customHeight="1" x14ac:dyDescent="0.2">
      <c r="D32" s="183"/>
      <c r="E32" s="221" t="str">
        <f>Translation!B24</f>
        <v xml:space="preserve">1. General information </v>
      </c>
      <c r="F32" s="222"/>
      <c r="G32" s="222"/>
      <c r="H32" s="223"/>
      <c r="I32" s="223"/>
      <c r="J32" s="222"/>
      <c r="K32" s="222"/>
      <c r="L32" s="222"/>
      <c r="M32" s="222"/>
      <c r="N32" s="184"/>
    </row>
    <row r="33" spans="4:24" ht="9.9499999999999993" customHeight="1" x14ac:dyDescent="0.2">
      <c r="D33" s="183"/>
      <c r="N33" s="184"/>
    </row>
    <row r="34" spans="4:24" ht="20.100000000000001" customHeight="1" x14ac:dyDescent="0.2">
      <c r="D34" s="183"/>
      <c r="E34" s="197" t="str">
        <f>Translation!B25</f>
        <v>Date</v>
      </c>
      <c r="F34" s="396">
        <f ca="1">TODAY()</f>
        <v>45481</v>
      </c>
      <c r="G34" s="396"/>
      <c r="H34" s="396"/>
      <c r="I34" s="238"/>
      <c r="L34" s="407"/>
      <c r="M34" s="401" t="s">
        <v>516</v>
      </c>
      <c r="N34" s="184"/>
    </row>
    <row r="35" spans="4:24" ht="20.100000000000001" customHeight="1" x14ac:dyDescent="0.2">
      <c r="D35" s="183"/>
      <c r="E35" s="197" t="str">
        <f>Translation!B26</f>
        <v>RothoBlaas technical salesman</v>
      </c>
      <c r="F35" s="397" t="s">
        <v>486</v>
      </c>
      <c r="G35" s="398"/>
      <c r="H35" s="399"/>
      <c r="I35" s="238"/>
      <c r="L35" s="408"/>
      <c r="M35" s="402"/>
      <c r="N35" s="184"/>
    </row>
    <row r="36" spans="4:24" ht="20.100000000000001" customHeight="1" x14ac:dyDescent="0.2">
      <c r="D36" s="183"/>
      <c r="E36" s="197" t="str">
        <f>Translation!B27</f>
        <v>Project</v>
      </c>
      <c r="F36" s="397" t="s">
        <v>486</v>
      </c>
      <c r="G36" s="398"/>
      <c r="H36" s="399"/>
      <c r="I36" s="236"/>
      <c r="N36" s="184"/>
    </row>
    <row r="37" spans="4:24" ht="20.100000000000001" customHeight="1" x14ac:dyDescent="0.2">
      <c r="D37" s="183"/>
      <c r="E37" s="197" t="str">
        <f>Translation!B28</f>
        <v>Designer</v>
      </c>
      <c r="F37" s="397" t="s">
        <v>486</v>
      </c>
      <c r="G37" s="398"/>
      <c r="H37" s="399"/>
      <c r="I37" s="236"/>
      <c r="L37" s="323"/>
      <c r="M37" s="321"/>
      <c r="N37" s="184"/>
      <c r="X37" s="99" t="s">
        <v>337</v>
      </c>
    </row>
    <row r="38" spans="4:24" ht="9.9499999999999993" customHeight="1" x14ac:dyDescent="0.2">
      <c r="D38" s="183"/>
      <c r="F38" s="400"/>
      <c r="G38" s="400"/>
      <c r="H38" s="400"/>
      <c r="I38" s="236"/>
      <c r="L38" s="325"/>
      <c r="M38" s="326"/>
      <c r="N38" s="184"/>
      <c r="X38" s="99" t="s">
        <v>338</v>
      </c>
    </row>
    <row r="39" spans="4:24" ht="20.100000000000001" customHeight="1" x14ac:dyDescent="0.2">
      <c r="D39" s="183"/>
      <c r="E39" s="197" t="str">
        <f>Translation!B29</f>
        <v>Calculation standard</v>
      </c>
      <c r="F39" s="397" t="s">
        <v>338</v>
      </c>
      <c r="G39" s="398"/>
      <c r="H39" s="399"/>
      <c r="I39" s="236"/>
      <c r="L39" s="324"/>
      <c r="M39" s="322"/>
      <c r="N39" s="184"/>
    </row>
    <row r="40" spans="4:24" ht="20.100000000000001" customHeight="1" x14ac:dyDescent="0.2">
      <c r="D40" s="183"/>
      <c r="E40" s="197" t="str">
        <f>Translation!B30</f>
        <v>Connection nr.</v>
      </c>
      <c r="F40" s="397" t="s">
        <v>486</v>
      </c>
      <c r="G40" s="398"/>
      <c r="H40" s="399"/>
      <c r="I40" s="236"/>
      <c r="N40" s="184"/>
    </row>
    <row r="41" spans="4:24" ht="60" customHeight="1" x14ac:dyDescent="0.2">
      <c r="D41" s="183"/>
      <c r="E41" s="197" t="str">
        <f>Translation!B31</f>
        <v>Notes</v>
      </c>
      <c r="F41" s="397" t="s">
        <v>486</v>
      </c>
      <c r="G41" s="398"/>
      <c r="H41" s="399"/>
      <c r="I41" s="236"/>
      <c r="N41" s="184"/>
    </row>
    <row r="42" spans="4:24" ht="9.9499999999999993" customHeight="1" x14ac:dyDescent="0.2">
      <c r="D42" s="183"/>
      <c r="N42" s="184"/>
    </row>
    <row r="43" spans="4:24" ht="30" customHeight="1" x14ac:dyDescent="0.2">
      <c r="D43" s="183"/>
      <c r="E43" s="221" t="str">
        <f>Translation!B121</f>
        <v>2. Combinations</v>
      </c>
      <c r="F43" s="221"/>
      <c r="G43" s="221"/>
      <c r="H43" s="221"/>
      <c r="I43" s="221"/>
      <c r="J43" s="221"/>
      <c r="K43" s="221"/>
      <c r="L43" s="221"/>
      <c r="M43" s="221"/>
      <c r="N43" s="184"/>
    </row>
    <row r="44" spans="4:24" ht="9.9499999999999993" customHeight="1" x14ac:dyDescent="0.2">
      <c r="D44" s="183"/>
      <c r="N44" s="184"/>
    </row>
    <row r="45" spans="4:24" ht="60" customHeight="1" x14ac:dyDescent="0.2">
      <c r="D45" s="183"/>
      <c r="E45" s="99" t="str">
        <f>Translation!B122</f>
        <v>Service class</v>
      </c>
      <c r="H45" s="297">
        <v>1</v>
      </c>
      <c r="I45" s="393" t="str">
        <f>VLOOKUP(H45,Foglio2!A17:B19,2,FALSE)</f>
        <v>Characterized by a material humidity in balance with the environment at a temperature of 20°C and a relative humidity of the surrounding air that does not exceed 65%, if not for a few weeks per year.</v>
      </c>
      <c r="J45" s="394"/>
      <c r="K45" s="394"/>
      <c r="L45" s="394"/>
      <c r="M45" s="394"/>
      <c r="N45" s="184"/>
    </row>
    <row r="46" spans="4:24" ht="20.100000000000001" customHeight="1" x14ac:dyDescent="0.2">
      <c r="D46" s="183"/>
      <c r="E46" s="99" t="str">
        <f>Translation!B123</f>
        <v xml:space="preserve">Load duration class </v>
      </c>
      <c r="F46" s="197"/>
      <c r="H46" s="297" t="s">
        <v>920</v>
      </c>
      <c r="I46" s="393" t="str">
        <f>VLOOKUP(H46,Foglio2!A22:B26,2,FALSE)</f>
        <v>Variable loads of buildings, except those relating to warehouses and deposits.</v>
      </c>
      <c r="J46" s="394"/>
      <c r="K46" s="394"/>
      <c r="L46" s="394"/>
      <c r="M46" s="394"/>
      <c r="N46" s="184"/>
    </row>
    <row r="47" spans="4:24" ht="20.100000000000001" customHeight="1" x14ac:dyDescent="0.2">
      <c r="D47" s="183"/>
      <c r="E47" s="99" t="str">
        <f>Translation!B124</f>
        <v>Kmod coefficient</v>
      </c>
      <c r="F47" s="197" t="s">
        <v>274</v>
      </c>
      <c r="G47" s="197" t="s">
        <v>262</v>
      </c>
      <c r="H47" s="215">
        <f>INDEX(AA181:AF184,MATCH(H45,AA181:AA184,0),MATCH(H46,AA181:AF181,0))</f>
        <v>0.8</v>
      </c>
      <c r="I47" s="202"/>
      <c r="N47" s="184"/>
    </row>
    <row r="48" spans="4:24" ht="20.100000000000001" customHeight="1" x14ac:dyDescent="0.2">
      <c r="D48" s="183"/>
      <c r="F48" s="197"/>
      <c r="H48" s="202"/>
      <c r="I48" s="202"/>
      <c r="N48" s="184"/>
    </row>
    <row r="49" spans="4:33" ht="20.100000000000001" customHeight="1" x14ac:dyDescent="0.2">
      <c r="D49" s="183"/>
      <c r="E49" s="99" t="str">
        <f>Translation!B138</f>
        <v>Continuously controlled production (VOC &lt;15%)</v>
      </c>
      <c r="F49" s="197"/>
      <c r="H49" s="297" t="s">
        <v>537</v>
      </c>
      <c r="I49" s="236"/>
      <c r="N49" s="184"/>
    </row>
    <row r="50" spans="4:33" ht="20.100000000000001" customHeight="1" x14ac:dyDescent="0.2">
      <c r="D50" s="183"/>
      <c r="E50" s="99" t="str">
        <f>Translation!B139</f>
        <v>Safety coefficient of connection</v>
      </c>
      <c r="F50" s="197" t="s">
        <v>275</v>
      </c>
      <c r="G50" s="197" t="s">
        <v>262</v>
      </c>
      <c r="H50" s="215">
        <f>IF(F39=X38,1.3,IF(H49="SI",AC168,AB168))</f>
        <v>1.3</v>
      </c>
      <c r="I50" s="202"/>
      <c r="N50" s="184"/>
    </row>
    <row r="51" spans="4:33" ht="20.100000000000001" customHeight="1" x14ac:dyDescent="0.2">
      <c r="D51" s="183"/>
      <c r="E51" s="99" t="str">
        <f>Translation!B140</f>
        <v>Safety coefficient of aluminium</v>
      </c>
      <c r="F51" s="197" t="s">
        <v>275</v>
      </c>
      <c r="G51" s="197" t="s">
        <v>262</v>
      </c>
      <c r="H51" s="215">
        <v>1.25</v>
      </c>
      <c r="I51" s="202"/>
      <c r="N51" s="184"/>
    </row>
    <row r="52" spans="4:33" ht="20.100000000000001" hidden="1" customHeight="1" x14ac:dyDescent="0.2">
      <c r="D52" s="183"/>
      <c r="E52" s="100"/>
      <c r="F52" s="100"/>
      <c r="G52" s="100"/>
      <c r="N52" s="184"/>
    </row>
    <row r="53" spans="4:33" ht="9.9499999999999993" customHeight="1" x14ac:dyDescent="0.2">
      <c r="D53" s="183"/>
      <c r="E53" s="100"/>
      <c r="F53" s="100"/>
      <c r="G53" s="100"/>
      <c r="N53" s="184"/>
      <c r="AA53" s="99" t="str">
        <f>Translation!B4</f>
        <v>Beam</v>
      </c>
      <c r="AB53" s="99" t="s">
        <v>3</v>
      </c>
    </row>
    <row r="54" spans="4:33" ht="30" customHeight="1" x14ac:dyDescent="0.2">
      <c r="D54" s="183"/>
      <c r="E54" s="221" t="str">
        <f>Translation!B32</f>
        <v xml:space="preserve">3. Design shear strength </v>
      </c>
      <c r="F54" s="222"/>
      <c r="G54" s="222"/>
      <c r="H54" s="223"/>
      <c r="I54" s="223"/>
      <c r="J54" s="222"/>
      <c r="K54" s="222"/>
      <c r="L54" s="222"/>
      <c r="M54" s="222"/>
      <c r="N54" s="184"/>
      <c r="R54" s="240"/>
      <c r="S54" s="240"/>
      <c r="X54" s="99" t="s">
        <v>254</v>
      </c>
      <c r="AA54" s="99" t="str">
        <f>Translation!B5</f>
        <v>Column</v>
      </c>
      <c r="AB54" s="99" t="s">
        <v>240</v>
      </c>
    </row>
    <row r="55" spans="4:33" ht="9.9499999999999993" customHeight="1" x14ac:dyDescent="0.2">
      <c r="D55" s="183"/>
      <c r="N55" s="184"/>
      <c r="R55" s="240"/>
      <c r="S55" s="240"/>
      <c r="X55" s="99">
        <f>IF(H72="Trave",VLOOKUP(H111,Screws!C6:G29,5,FALSE),VLOOKUP(H97,Data!AA4:AC24,2,FALSE)+18)</f>
        <v>118</v>
      </c>
    </row>
    <row r="56" spans="4:33" ht="20.100000000000001" customHeight="1" x14ac:dyDescent="0.2">
      <c r="D56" s="183"/>
      <c r="E56" s="99" t="str">
        <f>Translation!B33</f>
        <v>Vertical shear action</v>
      </c>
      <c r="F56" s="197" t="s">
        <v>1321</v>
      </c>
      <c r="G56" s="197" t="s">
        <v>258</v>
      </c>
      <c r="H56" s="297">
        <v>4</v>
      </c>
      <c r="I56" s="236"/>
      <c r="N56" s="184"/>
      <c r="X56" s="99">
        <f>IF(H72="Trave",VLOOKUP(H97,Data!AA4:AC24,3,FALSE)+15,VLOOKUP(H111,Screws!C6:G29,5,FALSE))</f>
        <v>80</v>
      </c>
    </row>
    <row r="57" spans="4:33" ht="20.100000000000001" customHeight="1" x14ac:dyDescent="0.2">
      <c r="D57" s="183"/>
      <c r="E57" s="99" t="str">
        <f>Translation!B34</f>
        <v>Shear action for lifting</v>
      </c>
      <c r="F57" s="197" t="s">
        <v>1322</v>
      </c>
      <c r="G57" s="197" t="s">
        <v>258</v>
      </c>
      <c r="H57" s="297">
        <v>1</v>
      </c>
      <c r="I57" s="236"/>
      <c r="N57" s="184"/>
    </row>
    <row r="58" spans="4:33" ht="20.100000000000001" customHeight="1" x14ac:dyDescent="0.2">
      <c r="D58" s="183"/>
      <c r="E58" s="99" t="str">
        <f>Translation!B35</f>
        <v>Axial action</v>
      </c>
      <c r="F58" s="197" t="s">
        <v>1323</v>
      </c>
      <c r="G58" s="197" t="s">
        <v>258</v>
      </c>
      <c r="H58" s="297">
        <v>2</v>
      </c>
      <c r="I58" s="236"/>
      <c r="N58" s="184"/>
    </row>
    <row r="59" spans="4:33" ht="35.1" customHeight="1" x14ac:dyDescent="0.2">
      <c r="D59" s="183"/>
      <c r="E59" s="99" t="str">
        <f>Translation!B36</f>
        <v>Lateral action</v>
      </c>
      <c r="F59" s="197" t="s">
        <v>1324</v>
      </c>
      <c r="G59" s="197" t="s">
        <v>258</v>
      </c>
      <c r="H59" s="297">
        <v>1</v>
      </c>
      <c r="I59" s="236"/>
      <c r="N59" s="184"/>
      <c r="AA59" s="299"/>
      <c r="AB59" s="99" t="str">
        <f>Translation!B6</f>
        <v>Notch in column</v>
      </c>
      <c r="AG59" s="299">
        <v>0</v>
      </c>
    </row>
    <row r="60" spans="4:33" ht="20.100000000000001" customHeight="1" x14ac:dyDescent="0.2">
      <c r="D60" s="183"/>
      <c r="N60" s="184"/>
      <c r="AA60" s="299"/>
      <c r="AB60" s="99" t="str">
        <f>Translation!B7</f>
        <v>Notch in main beam</v>
      </c>
      <c r="AC60" s="99" t="s">
        <v>179</v>
      </c>
      <c r="AE60" s="99" t="str">
        <f>Translation!B6</f>
        <v>Notch in column</v>
      </c>
      <c r="AF60" s="99" t="s">
        <v>180</v>
      </c>
      <c r="AG60" s="299">
        <v>1</v>
      </c>
    </row>
    <row r="61" spans="4:33" ht="9.9499999999999993" customHeight="1" x14ac:dyDescent="0.2">
      <c r="D61" s="183"/>
      <c r="N61" s="184"/>
      <c r="X61" s="99" t="s">
        <v>255</v>
      </c>
      <c r="AA61" s="299"/>
      <c r="AB61" s="99" t="str">
        <f>Translation!B8</f>
        <v>Notch in secondary beam</v>
      </c>
      <c r="AC61" s="99" t="s">
        <v>181</v>
      </c>
      <c r="AE61" s="99" t="str">
        <f>Translation!B8</f>
        <v>Notch in secondary beam</v>
      </c>
      <c r="AF61" s="99" t="s">
        <v>181</v>
      </c>
      <c r="AG61" s="299">
        <v>2</v>
      </c>
    </row>
    <row r="62" spans="4:33" ht="30" customHeight="1" x14ac:dyDescent="0.2">
      <c r="D62" s="183"/>
      <c r="E62" s="221" t="str">
        <f>Translation!B37</f>
        <v>4. Timber element</v>
      </c>
      <c r="F62" s="222"/>
      <c r="G62" s="222"/>
      <c r="H62" s="223"/>
      <c r="I62" s="223"/>
      <c r="J62" s="222"/>
      <c r="K62" s="222"/>
      <c r="L62" s="222"/>
      <c r="M62" s="222"/>
      <c r="N62" s="184"/>
      <c r="R62" s="99">
        <f>INDEX(IF('LOCK-T'!$H$72='LOCK-T'!$AA$54,IF('LOCK-T'!$H$99=1,Foglio2!$B$1:$B$4,Foglio2!$B$49:$B$52),IF('LOCK-T'!$H$99=1,Foglio2!$B$5:$B$9,Foglio2!$B$53:$B$57)),MATCH('LOCK-T'!$H$65,Foglio2!$A$1:$A$8,0))</f>
        <v>0</v>
      </c>
      <c r="X62" s="182">
        <f>VLOOKUP(H97,Data!AA4:AC24,2,FALSE)+26</f>
        <v>126</v>
      </c>
      <c r="AA62" s="299"/>
      <c r="AB62" s="99" t="str">
        <f>Translation!B9</f>
        <v>Inclined screws</v>
      </c>
      <c r="AC62" s="99" t="s">
        <v>215</v>
      </c>
      <c r="AE62" s="99" t="str">
        <f>Translation!B9</f>
        <v>Inclined screws</v>
      </c>
      <c r="AF62" s="99" t="s">
        <v>215</v>
      </c>
      <c r="AG62" s="299">
        <v>3</v>
      </c>
    </row>
    <row r="63" spans="4:33" ht="9.9499999999999993" customHeight="1" x14ac:dyDescent="0.2">
      <c r="D63" s="183"/>
      <c r="N63" s="184"/>
      <c r="P63"/>
      <c r="Q63" s="76"/>
      <c r="R63" s="76"/>
      <c r="S63" s="76"/>
      <c r="T63" s="76"/>
      <c r="X63" s="182">
        <f>VLOOKUP(H97,Data!AA4:AC24,3,FALSE)</f>
        <v>290</v>
      </c>
      <c r="AA63" s="299"/>
      <c r="AB63" s="99" t="s">
        <v>214</v>
      </c>
      <c r="AC63" s="99" t="s">
        <v>214</v>
      </c>
      <c r="AE63" s="99" t="s">
        <v>214</v>
      </c>
      <c r="AF63" s="99" t="s">
        <v>214</v>
      </c>
      <c r="AG63" s="299">
        <v>4</v>
      </c>
    </row>
    <row r="64" spans="4:33" ht="20.100000000000001" hidden="1" customHeight="1" x14ac:dyDescent="0.2">
      <c r="D64" s="183"/>
      <c r="N64" s="184"/>
      <c r="P64"/>
      <c r="Q64" s="76"/>
      <c r="R64" s="76"/>
      <c r="S64" s="76"/>
      <c r="T64" s="76"/>
      <c r="X64" s="182"/>
    </row>
    <row r="65" spans="4:28" ht="20.100000000000001" customHeight="1" x14ac:dyDescent="0.2">
      <c r="D65" s="183"/>
      <c r="E65" s="99" t="str">
        <f>Translation!B107</f>
        <v>Configuration for lateral resistance</v>
      </c>
      <c r="H65" s="297" t="s">
        <v>1121</v>
      </c>
      <c r="N65" s="184"/>
      <c r="P65"/>
      <c r="Q65" s="76"/>
      <c r="R65" s="76" t="s">
        <v>1314</v>
      </c>
      <c r="S65" s="352">
        <f>IF($H$72=AA53,1,0)</f>
        <v>1</v>
      </c>
      <c r="T65" s="76"/>
      <c r="X65" s="182"/>
    </row>
    <row r="66" spans="4:28" ht="9.9499999999999993" customHeight="1" x14ac:dyDescent="0.2">
      <c r="D66" s="183"/>
      <c r="N66" s="184"/>
      <c r="P66"/>
      <c r="Q66" s="76"/>
      <c r="R66" s="76" t="s">
        <v>1315</v>
      </c>
      <c r="S66" s="352">
        <f>IF($H$72=AA54,1,0)</f>
        <v>0</v>
      </c>
      <c r="T66" s="76"/>
      <c r="X66" s="182"/>
    </row>
    <row r="67" spans="4:28" ht="20.100000000000001" customHeight="1" x14ac:dyDescent="0.2">
      <c r="D67" s="183"/>
      <c r="E67" s="198" t="str">
        <f>Translation!B38</f>
        <v>4.1 Main element</v>
      </c>
      <c r="F67" s="409" t="str">
        <f>Translation!B210</f>
        <v>Milling for connector housing Sf=20 mm</v>
      </c>
      <c r="G67" s="409"/>
      <c r="H67" s="409"/>
      <c r="N67" s="184"/>
      <c r="R67" s="99" t="s">
        <v>1338</v>
      </c>
      <c r="S67" s="100">
        <f>H99</f>
        <v>1</v>
      </c>
    </row>
    <row r="68" spans="4:28" ht="9.9499999999999993" customHeight="1" x14ac:dyDescent="0.2">
      <c r="D68" s="183"/>
      <c r="F68" s="199"/>
      <c r="G68" s="199"/>
      <c r="H68" s="199"/>
      <c r="I68" s="199"/>
      <c r="N68" s="184"/>
      <c r="R68" s="99" t="s">
        <v>1339</v>
      </c>
      <c r="S68" s="100">
        <f>VLOOKUP(H65,AB59:AG63,6,FALSE)</f>
        <v>1</v>
      </c>
    </row>
    <row r="69" spans="4:28" ht="20.100000000000001" customHeight="1" x14ac:dyDescent="0.2">
      <c r="D69" s="183"/>
      <c r="E69" s="99" t="str">
        <f>IF(H72=AA53,Translation!B39,Translation!B40)</f>
        <v>Beam base</v>
      </c>
      <c r="F69" s="197" t="str">
        <f>IF(H72=AA53,"Bh","Bs")</f>
        <v>Bh</v>
      </c>
      <c r="G69" s="197" t="s">
        <v>261</v>
      </c>
      <c r="H69" s="297">
        <v>180</v>
      </c>
      <c r="I69" s="410" t="str">
        <f>Translation!B207</f>
        <v>!! element too small for the selected connector !!</v>
      </c>
      <c r="J69" s="337"/>
      <c r="K69" s="337"/>
      <c r="L69" s="337"/>
      <c r="M69" s="337"/>
      <c r="N69" s="184"/>
      <c r="R69" s="99" t="s">
        <v>1340</v>
      </c>
      <c r="S69" s="100">
        <f>IF(H98=AB165,0,1)</f>
        <v>1</v>
      </c>
      <c r="AB69" s="99" t="str" cm="1">
        <f t="array" ref="AB69:AB72">IF($H$72=$AA$54,$AE$60:$AE$63,$AB$60:$AB$63)</f>
        <v>Notch in main beam</v>
      </c>
    </row>
    <row r="70" spans="4:28" ht="20.100000000000001" customHeight="1" x14ac:dyDescent="0.2">
      <c r="D70" s="183"/>
      <c r="E70" s="99" t="str">
        <f>IF(H72=AA53,Translation!B41,Translation!B42)</f>
        <v>Beam height</v>
      </c>
      <c r="F70" s="197" t="str">
        <f>IF(H72=AA53,"Hh","Bh")</f>
        <v>Hh</v>
      </c>
      <c r="G70" s="197" t="s">
        <v>261</v>
      </c>
      <c r="H70" s="297">
        <v>400</v>
      </c>
      <c r="I70" s="410"/>
      <c r="J70" s="337"/>
      <c r="K70" s="337"/>
      <c r="L70" s="337"/>
      <c r="M70" s="337"/>
      <c r="N70" s="184"/>
      <c r="R70" s="99">
        <f>INDEX(Foglio2!$B$5:$B$11,MATCH('LOCK-T'!$H$72,Foglio2!$A$5:$A$11,0))</f>
        <v>0</v>
      </c>
      <c r="X70" s="338" t="s">
        <v>1312</v>
      </c>
      <c r="AB70" s="99" t="str">
        <v>Notch in secondary beam</v>
      </c>
    </row>
    <row r="71" spans="4:28" ht="20.100000000000001" customHeight="1" x14ac:dyDescent="0.2">
      <c r="D71" s="183"/>
      <c r="E71" s="99" t="str">
        <f>Translation!B43</f>
        <v>Type of timber</v>
      </c>
      <c r="F71" s="197" t="s">
        <v>4</v>
      </c>
      <c r="G71" s="197" t="s">
        <v>262</v>
      </c>
      <c r="H71" s="297" t="s">
        <v>1</v>
      </c>
      <c r="I71" s="236"/>
      <c r="K71" s="411"/>
      <c r="L71" s="411"/>
      <c r="M71" s="339"/>
      <c r="N71" s="184"/>
      <c r="R71" s="99">
        <f>INDEX(Foglio2!$B$12:$B$13,MATCH('LOCK-T'!$H$98,Foglio2!$A$12:$A$13,0))</f>
        <v>0</v>
      </c>
      <c r="X71" s="346" t="s">
        <v>1313</v>
      </c>
      <c r="AB71" s="99" t="str">
        <v>Inclined screws</v>
      </c>
    </row>
    <row r="72" spans="4:28" ht="20.100000000000001" customHeight="1" x14ac:dyDescent="0.2">
      <c r="D72" s="183"/>
      <c r="E72" s="99" t="str">
        <f>Translation!B44</f>
        <v>Main element orientation</v>
      </c>
      <c r="F72" s="197" t="s">
        <v>4</v>
      </c>
      <c r="G72" s="197" t="s">
        <v>262</v>
      </c>
      <c r="H72" s="297" t="s">
        <v>541</v>
      </c>
      <c r="I72" s="236"/>
      <c r="N72" s="184"/>
      <c r="P72" s="197"/>
      <c r="X72" s="99" t="s">
        <v>1314</v>
      </c>
      <c r="AB72" s="99" t="str">
        <v>LOCK STOP</v>
      </c>
    </row>
    <row r="73" spans="4:28" ht="9.9499999999999993" customHeight="1" x14ac:dyDescent="0.2">
      <c r="D73" s="183"/>
      <c r="I73" s="235"/>
      <c r="N73" s="184"/>
    </row>
    <row r="74" spans="4:28" ht="20.100000000000001" customHeight="1" x14ac:dyDescent="0.2">
      <c r="D74" s="183"/>
      <c r="E74" s="266" t="str">
        <f>CONCATENATE(Translation!B46," ",VLOOKUP(H74,Data!$B$4:$H$40,7,FALSE))</f>
        <v>Timber strength class EN 14080:2013</v>
      </c>
      <c r="H74" s="214" t="str">
        <f>H71</f>
        <v>GL24h</v>
      </c>
      <c r="I74" s="409" t="str">
        <f>IF(H72=AA54,Translation!B52,Translation!B53)</f>
        <v>The pre-drill is required for fastening screws on timber element with with characteristic density ρk&gt; 420 kg/m3.</v>
      </c>
      <c r="N74" s="184"/>
      <c r="W74" s="99" t="s">
        <v>112</v>
      </c>
      <c r="X74" s="99">
        <f>H117</f>
        <v>80</v>
      </c>
    </row>
    <row r="75" spans="4:28" ht="20.100000000000001" customHeight="1" x14ac:dyDescent="0.2">
      <c r="D75" s="183"/>
      <c r="E75" s="99" t="str">
        <f>Translation!B47</f>
        <v>Characteristic density</v>
      </c>
      <c r="F75" s="197" t="s">
        <v>474</v>
      </c>
      <c r="G75" s="197" t="s">
        <v>300</v>
      </c>
      <c r="H75" s="268">
        <f>VLOOKUP($H$74,Data!$B$4:$G$36,2,FALSE)</f>
        <v>385</v>
      </c>
      <c r="I75" s="409"/>
      <c r="N75" s="184"/>
      <c r="W75" s="99" t="s">
        <v>1319</v>
      </c>
      <c r="X75" s="99">
        <f>H104+IF(H114=6,IF(H104=135,10,5),IF(H104=135,20,15))</f>
        <v>305</v>
      </c>
    </row>
    <row r="76" spans="4:28" ht="30" customHeight="1" x14ac:dyDescent="0.2">
      <c r="D76" s="183"/>
      <c r="E76" s="261" t="str">
        <f>Translation!B48</f>
        <v>Characteristic compressive strength parallel to the grain</v>
      </c>
      <c r="F76" s="197" t="s">
        <v>470</v>
      </c>
      <c r="G76" s="197" t="s">
        <v>299</v>
      </c>
      <c r="H76" s="267">
        <f>VLOOKUP($H$74,Data!$B$4:$G$36,3,FALSE)</f>
        <v>24</v>
      </c>
      <c r="I76" s="409"/>
      <c r="N76" s="184"/>
      <c r="X76" s="99" t="s">
        <v>1315</v>
      </c>
    </row>
    <row r="77" spans="4:28" ht="30" customHeight="1" x14ac:dyDescent="0.2">
      <c r="D77" s="183"/>
      <c r="E77" s="261" t="str">
        <f>Translation!B49</f>
        <v>Characteristic compressive strength perpendicular to the grain</v>
      </c>
      <c r="F77" s="197" t="s">
        <v>471</v>
      </c>
      <c r="G77" s="197" t="s">
        <v>299</v>
      </c>
      <c r="H77" s="267">
        <f>VLOOKUP($H$74,Data!$B$4:$G$36,4,FALSE)</f>
        <v>2.5</v>
      </c>
      <c r="I77" s="409"/>
      <c r="N77" s="184"/>
      <c r="W77" s="99" t="s">
        <v>112</v>
      </c>
      <c r="X77" s="99">
        <f>IF(H99=2,H103+I103,H103)+IF(H114=7,24,17.5)</f>
        <v>124</v>
      </c>
    </row>
    <row r="78" spans="4:28" ht="30" customHeight="1" x14ac:dyDescent="0.2">
      <c r="D78" s="183"/>
      <c r="E78" s="261" t="str">
        <f>Translation!B50</f>
        <v>Characteristic strength for rolling shear</v>
      </c>
      <c r="F78" s="197" t="s">
        <v>472</v>
      </c>
      <c r="G78" s="197" t="s">
        <v>299</v>
      </c>
      <c r="H78" s="267">
        <f>VLOOKUP($H$74,Data!$B$4:$G$36,5,FALSE)</f>
        <v>1.2</v>
      </c>
      <c r="I78" s="409"/>
      <c r="N78" s="184"/>
      <c r="W78" s="99" t="s">
        <v>1320</v>
      </c>
      <c r="X78" s="99">
        <f>H117</f>
        <v>80</v>
      </c>
    </row>
    <row r="79" spans="4:28" ht="20.100000000000001" customHeight="1" x14ac:dyDescent="0.2">
      <c r="D79" s="183"/>
      <c r="E79" s="99" t="str">
        <f>Translation!B51</f>
        <v>Characteristic shear resistance</v>
      </c>
      <c r="F79" s="197" t="s">
        <v>473</v>
      </c>
      <c r="G79" s="197" t="s">
        <v>299</v>
      </c>
      <c r="H79" s="267">
        <f>VLOOKUP($H$74,Data!$B$4:$G$36,6,FALSE)</f>
        <v>3.5</v>
      </c>
      <c r="I79" s="409"/>
      <c r="N79" s="184"/>
      <c r="X79" s="346" t="s">
        <v>1316</v>
      </c>
    </row>
    <row r="80" spans="4:28" ht="9.9499999999999993" customHeight="1" x14ac:dyDescent="0.2">
      <c r="D80" s="183"/>
      <c r="N80" s="184"/>
    </row>
    <row r="81" spans="4:29" ht="19.5" customHeight="1" x14ac:dyDescent="0.2">
      <c r="D81" s="183"/>
      <c r="E81" s="198" t="str">
        <f>Translation!B54</f>
        <v>4.2 Secondary element</v>
      </c>
      <c r="K81" s="411"/>
      <c r="L81" s="411"/>
      <c r="N81" s="184"/>
      <c r="X81" s="99" t="s">
        <v>1317</v>
      </c>
    </row>
    <row r="82" spans="4:29" ht="9.9499999999999993" customHeight="1" x14ac:dyDescent="0.2">
      <c r="D82" s="183"/>
      <c r="F82" s="199"/>
      <c r="G82" s="199"/>
      <c r="H82" s="199"/>
      <c r="I82" s="199"/>
      <c r="N82" s="184"/>
    </row>
    <row r="83" spans="4:29" ht="20.100000000000001" customHeight="1" x14ac:dyDescent="0.2">
      <c r="D83" s="183"/>
      <c r="E83" s="99" t="str">
        <f>Translation!B55</f>
        <v>Beam base</v>
      </c>
      <c r="F83" s="197" t="s">
        <v>307</v>
      </c>
      <c r="G83" s="197" t="s">
        <v>261</v>
      </c>
      <c r="H83" s="297">
        <v>240</v>
      </c>
      <c r="I83" s="410" t="str">
        <f>Translation!B207</f>
        <v>!! element too small for the selected connector !!</v>
      </c>
      <c r="J83" s="337"/>
      <c r="K83" s="411"/>
      <c r="L83" s="411"/>
      <c r="M83" s="337"/>
      <c r="N83" s="184"/>
      <c r="W83" s="99" t="s">
        <v>112</v>
      </c>
      <c r="X83" s="99">
        <f>IF(H99=2,H103+I103,H103)+IF(H114=7,24,17.5)</f>
        <v>124</v>
      </c>
    </row>
    <row r="84" spans="4:29" ht="20.100000000000001" customHeight="1" x14ac:dyDescent="0.2">
      <c r="D84" s="183"/>
      <c r="E84" s="99" t="str">
        <f>Translation!B56</f>
        <v>Beam height</v>
      </c>
      <c r="F84" s="197" t="s">
        <v>308</v>
      </c>
      <c r="G84" s="197" t="s">
        <v>261</v>
      </c>
      <c r="H84" s="297">
        <v>400</v>
      </c>
      <c r="I84" s="410"/>
      <c r="J84" s="337"/>
      <c r="K84" s="337"/>
      <c r="L84" s="337"/>
      <c r="M84" s="337"/>
      <c r="N84" s="184"/>
      <c r="W84" s="99" t="s">
        <v>1319</v>
      </c>
      <c r="X84" s="99">
        <f>H104</f>
        <v>290</v>
      </c>
    </row>
    <row r="85" spans="4:29" ht="20.100000000000001" customHeight="1" x14ac:dyDescent="0.2">
      <c r="D85" s="183"/>
      <c r="E85" s="99" t="str">
        <f>Translation!B57</f>
        <v>Type of wood</v>
      </c>
      <c r="F85" s="197" t="s">
        <v>4</v>
      </c>
      <c r="G85" s="197" t="s">
        <v>262</v>
      </c>
      <c r="H85" s="297" t="s">
        <v>57</v>
      </c>
      <c r="I85" s="410" t="str">
        <f>Translation!B59</f>
        <v>For high angles check that screws do not protrude from the sections geometrically.</v>
      </c>
      <c r="J85" s="409"/>
      <c r="K85" s="409"/>
      <c r="N85" s="184"/>
      <c r="X85" s="99" t="s">
        <v>1318</v>
      </c>
    </row>
    <row r="86" spans="4:29" ht="20.100000000000001" customHeight="1" x14ac:dyDescent="0.2">
      <c r="D86" s="183"/>
      <c r="E86" s="99" t="str">
        <f>Translation!B58</f>
        <v>Angle in vertical plane</v>
      </c>
      <c r="F86" s="197" t="s">
        <v>178</v>
      </c>
      <c r="G86" s="197" t="s">
        <v>263</v>
      </c>
      <c r="H86" s="297">
        <v>0</v>
      </c>
      <c r="I86" s="410"/>
      <c r="J86" s="409"/>
      <c r="K86" s="409"/>
      <c r="L86" s="351"/>
      <c r="M86" s="351"/>
      <c r="N86" s="184"/>
      <c r="R86" s="99">
        <f>IF(H99=2,IF(H104&lt;&gt;I104,0,1),1)</f>
        <v>1</v>
      </c>
      <c r="W86" s="99" t="s">
        <v>112</v>
      </c>
      <c r="X86" s="182">
        <f>IF(H99=2,H103+I103,H103)+IF(H114&gt;5,30,25.5)</f>
        <v>130</v>
      </c>
      <c r="AB86" s="99" t="s">
        <v>252</v>
      </c>
      <c r="AC86" s="99">
        <f>VLOOKUP(H97,Data!AA4:AC24,3,FALSE)</f>
        <v>290</v>
      </c>
    </row>
    <row r="87" spans="4:29" ht="20.100000000000001" customHeight="1" x14ac:dyDescent="0.2">
      <c r="D87" s="183"/>
      <c r="H87" s="340" t="s">
        <v>1275</v>
      </c>
      <c r="I87" s="351"/>
      <c r="J87" s="351"/>
      <c r="N87" s="184"/>
      <c r="W87" s="99" t="s">
        <v>1319</v>
      </c>
      <c r="X87" s="99">
        <f>H104+IF(H104=135,5,0)</f>
        <v>290</v>
      </c>
      <c r="AB87" s="99" t="s">
        <v>339</v>
      </c>
      <c r="AC87" s="99">
        <f>VLOOKUP(I97,Data!AA4:AC24,3,FALSE)</f>
        <v>135</v>
      </c>
    </row>
    <row r="88" spans="4:29" ht="20.100000000000001" customHeight="1" x14ac:dyDescent="0.2">
      <c r="D88" s="183"/>
      <c r="E88" s="266" t="str">
        <f>CONCATENATE(Translation!B60,VLOOKUP(H88,Data!$B$4:$H$40,7,FALSE))</f>
        <v>Timber classEN 14080:2013</v>
      </c>
      <c r="H88" s="214" t="str">
        <f>H85</f>
        <v>GL22h</v>
      </c>
      <c r="I88" s="409" t="str">
        <f>Translation!B66</f>
        <v>The pre-drill is required for fastening screws on timber element with with characteristic density ρk&gt; 420 kg/m3.</v>
      </c>
      <c r="N88" s="184"/>
    </row>
    <row r="89" spans="4:29" ht="20.100000000000001" customHeight="1" x14ac:dyDescent="0.2">
      <c r="D89" s="183"/>
      <c r="E89" s="99" t="str">
        <f>Translation!B61</f>
        <v>Characteristic density</v>
      </c>
      <c r="F89" s="197" t="s">
        <v>474</v>
      </c>
      <c r="G89" s="197" t="s">
        <v>300</v>
      </c>
      <c r="H89" s="268">
        <f>VLOOKUP($H$88,Data!$B$4:$G$36,2,FALSE)</f>
        <v>370</v>
      </c>
      <c r="I89" s="409"/>
      <c r="N89" s="184"/>
    </row>
    <row r="90" spans="4:29" ht="30" customHeight="1" x14ac:dyDescent="0.2">
      <c r="D90" s="183"/>
      <c r="E90" s="261" t="str">
        <f>Translation!B62</f>
        <v>Characteristic compressive strength parallel to the grain</v>
      </c>
      <c r="F90" s="197" t="s">
        <v>470</v>
      </c>
      <c r="G90" s="197" t="s">
        <v>299</v>
      </c>
      <c r="H90" s="267">
        <f>VLOOKUP($H$88,Data!$B$4:$G$36,3,FALSE)</f>
        <v>22</v>
      </c>
      <c r="I90" s="409"/>
      <c r="N90" s="184"/>
    </row>
    <row r="91" spans="4:29" ht="30" customHeight="1" x14ac:dyDescent="0.2">
      <c r="D91" s="183"/>
      <c r="E91" s="261" t="str">
        <f>Translation!B63</f>
        <v>Characteristic compressive strength perpendicular to fibration</v>
      </c>
      <c r="F91" s="197" t="s">
        <v>471</v>
      </c>
      <c r="G91" s="197" t="s">
        <v>299</v>
      </c>
      <c r="H91" s="267">
        <f>VLOOKUP($H$88,Data!$B$4:$G$36,4,FALSE)</f>
        <v>2.5</v>
      </c>
      <c r="I91" s="409"/>
      <c r="N91" s="184"/>
    </row>
    <row r="92" spans="4:29" ht="30" customHeight="1" x14ac:dyDescent="0.2">
      <c r="D92" s="183"/>
      <c r="E92" s="261" t="str">
        <f>Translation!B64</f>
        <v>Characteristic strength for rolling shear</v>
      </c>
      <c r="F92" s="197" t="s">
        <v>472</v>
      </c>
      <c r="G92" s="197" t="s">
        <v>299</v>
      </c>
      <c r="H92" s="267">
        <f>VLOOKUP($H$88,Data!$B$4:$G$36,5,FALSE)</f>
        <v>1.2</v>
      </c>
      <c r="I92" s="409"/>
      <c r="N92" s="184"/>
    </row>
    <row r="93" spans="4:29" ht="20.100000000000001" customHeight="1" x14ac:dyDescent="0.2">
      <c r="D93" s="183"/>
      <c r="E93" s="99" t="str">
        <f>Translation!B65</f>
        <v>Characteristic shear resistance</v>
      </c>
      <c r="F93" s="197" t="s">
        <v>473</v>
      </c>
      <c r="G93" s="197" t="s">
        <v>299</v>
      </c>
      <c r="H93" s="267">
        <f>VLOOKUP($H$88,Data!$B$4:$G$36,6,FALSE)</f>
        <v>3.5</v>
      </c>
      <c r="I93" s="409"/>
      <c r="N93" s="184"/>
      <c r="O93" s="242"/>
    </row>
    <row r="94" spans="4:29" ht="9.9499999999999993" customHeight="1" x14ac:dyDescent="0.2">
      <c r="D94" s="183"/>
      <c r="N94" s="184"/>
    </row>
    <row r="95" spans="4:29" ht="30" customHeight="1" x14ac:dyDescent="0.2">
      <c r="D95" s="183"/>
      <c r="E95" s="221" t="str">
        <f>Translation!B67</f>
        <v>5. Choice of connector and screws</v>
      </c>
      <c r="F95" s="222"/>
      <c r="G95" s="222"/>
      <c r="H95" s="223"/>
      <c r="I95" s="223"/>
      <c r="J95" s="222"/>
      <c r="K95" s="222"/>
      <c r="L95" s="222"/>
      <c r="M95" s="222"/>
      <c r="N95" s="184"/>
    </row>
    <row r="96" spans="4:29" ht="9.9499999999999993" customHeight="1" x14ac:dyDescent="0.2">
      <c r="D96" s="183"/>
      <c r="N96" s="184"/>
    </row>
    <row r="97" spans="4:27" ht="20.100000000000001" customHeight="1" x14ac:dyDescent="0.2">
      <c r="D97" s="183"/>
      <c r="E97" s="99" t="str">
        <f>Translation!B68</f>
        <v>Connector selection</v>
      </c>
      <c r="F97" s="230"/>
      <c r="H97" s="297" t="s">
        <v>373</v>
      </c>
      <c r="I97" s="297" t="s">
        <v>362</v>
      </c>
      <c r="K97" s="409" t="str">
        <f>Translation!B71</f>
        <v>Coupling connectors must be equal in height!</v>
      </c>
      <c r="L97" s="409"/>
      <c r="M97" s="409"/>
      <c r="N97" s="184"/>
    </row>
    <row r="98" spans="4:27" ht="20.100000000000001" customHeight="1" x14ac:dyDescent="0.2">
      <c r="D98" s="183"/>
      <c r="E98" s="99" t="str">
        <f>Translation!B69</f>
        <v>Version with C4 EVO coating</v>
      </c>
      <c r="H98" s="297" t="s">
        <v>532</v>
      </c>
      <c r="I98" s="255" t="str">
        <f>H98</f>
        <v>Yes</v>
      </c>
      <c r="N98" s="184"/>
    </row>
    <row r="99" spans="4:27" ht="20.100000000000001" customHeight="1" x14ac:dyDescent="0.2">
      <c r="D99" s="183"/>
      <c r="E99" s="99" t="str">
        <f>Translation!B70</f>
        <v>Connectors coupling: number of connectors</v>
      </c>
      <c r="F99" s="242"/>
      <c r="H99" s="297">
        <v>1</v>
      </c>
      <c r="I99" s="99"/>
      <c r="N99" s="184"/>
    </row>
    <row r="100" spans="4:27" ht="20.100000000000001" customHeight="1" x14ac:dyDescent="0.2">
      <c r="D100" s="183"/>
      <c r="H100" s="256" t="str">
        <f>IF(H98=AC165,VLOOKUP(H97,Data!AA4:AK22,11,FALSE)," ")</f>
        <v>(*)</v>
      </c>
      <c r="I100" s="256">
        <f>IF(I98=AC165,VLOOKUP(I97,Data!AA4:AU22,21,FALSE)," ")</f>
        <v>0</v>
      </c>
      <c r="N100" s="184"/>
      <c r="P100" s="230"/>
      <c r="AA100" s="99" t="e">
        <f>IF('LOCK-T'!H65='LOCK-T'!AB62,VLOOKUP(B6,Data!AA32:AC50,3,FALSE),VLOOKUP(B6,Data!AA32:AC50,2,FALSE))</f>
        <v>#N/A</v>
      </c>
    </row>
    <row r="101" spans="4:27" ht="20.100000000000001" customHeight="1" x14ac:dyDescent="0.2">
      <c r="D101" s="183"/>
      <c r="E101" s="99" t="str">
        <f>Translation!B72</f>
        <v>Connector code</v>
      </c>
      <c r="H101" s="214" t="str">
        <f>CONCATENATE(VLOOKUP(H97,Data!AA4:AI24,9,FALSE),IF(H98=AC165,VLOOKUP(H97,Data!AA4:AK22,10,FALSE),""),ROUND(VLOOKUP(H97,Data!AA4:AC24,2,FALSE),0),VLOOKUP(H97,Data!AA4:AC24,3,FALSE))</f>
        <v>LOCKTEV100290</v>
      </c>
      <c r="I101" s="214" t="str">
        <f>CONCATENATE(VLOOKUP(I97,Data!AA4:AI24,9,FALSE),IF(I98=AC165,VLOOKUP(I97,Data!AA4:AK22,10,FALSE),""),ROUND(VLOOKUP(I97,Data!AA4:AC24,2,FALSE),0),VLOOKUP(I97,Data!AA4:AC24,3,FALSE))</f>
        <v>LOCKTEVO50135</v>
      </c>
      <c r="J101" s="201"/>
      <c r="N101" s="184"/>
    </row>
    <row r="102" spans="4:27" ht="20.100000000000001" customHeight="1" x14ac:dyDescent="0.2">
      <c r="D102" s="183"/>
      <c r="E102" s="99" t="str">
        <f>Translation!B73</f>
        <v>Number of ETA-19/0831 basic modules</v>
      </c>
      <c r="F102" s="197" t="s">
        <v>405</v>
      </c>
      <c r="G102" s="197" t="s">
        <v>262</v>
      </c>
      <c r="H102" s="215">
        <f>VLOOKUP(H97,Data!$AA$4:$AF$24,6,FALSE)</f>
        <v>4</v>
      </c>
      <c r="I102" s="215">
        <f>VLOOKUP(I97,Data!$AA$4:$AF$24,6,FALSE)</f>
        <v>2</v>
      </c>
      <c r="J102" s="201"/>
      <c r="N102" s="184"/>
    </row>
    <row r="103" spans="4:27" ht="20.100000000000001" customHeight="1" x14ac:dyDescent="0.2">
      <c r="D103" s="183"/>
      <c r="E103" s="99" t="str">
        <f>Translation!B74</f>
        <v>Base</v>
      </c>
      <c r="F103" s="197" t="s">
        <v>309</v>
      </c>
      <c r="G103" s="197" t="s">
        <v>261</v>
      </c>
      <c r="H103" s="215">
        <f>VLOOKUP(H97,Data!AA4:AC24,2,FALSE)</f>
        <v>100</v>
      </c>
      <c r="I103" s="215">
        <f>VLOOKUP(I97,Data!AA4:AC24,2,FALSE)</f>
        <v>50</v>
      </c>
      <c r="N103" s="184"/>
      <c r="P103" s="242"/>
    </row>
    <row r="104" spans="4:27" ht="20.100000000000001" customHeight="1" x14ac:dyDescent="0.2">
      <c r="D104" s="183"/>
      <c r="E104" s="99" t="str">
        <f>Translation!B75</f>
        <v>Height</v>
      </c>
      <c r="F104" s="197" t="s">
        <v>310</v>
      </c>
      <c r="G104" s="197" t="s">
        <v>261</v>
      </c>
      <c r="H104" s="215">
        <f>VLOOKUP(H97,Data!AA4:AC24,3,FALSE)</f>
        <v>290</v>
      </c>
      <c r="I104" s="215">
        <f>VLOOKUP(I97,Data!AA4:AC24,3,FALSE)</f>
        <v>135</v>
      </c>
      <c r="N104" s="184"/>
    </row>
    <row r="105" spans="4:27" ht="20.100000000000001" customHeight="1" x14ac:dyDescent="0.2">
      <c r="D105" s="183"/>
      <c r="E105" s="99" t="str">
        <f>Translation!B76</f>
        <v>Thickness</v>
      </c>
      <c r="F105" s="197" t="s">
        <v>489</v>
      </c>
      <c r="G105" s="197" t="s">
        <v>261</v>
      </c>
      <c r="H105" s="215">
        <f>VLOOKUP(VLOOKUP(H97,Data!AA4:AD24,4,FALSE),Data!I4:T15,12,FALSE)</f>
        <v>22</v>
      </c>
      <c r="I105" s="215">
        <f>VLOOKUP(VLOOKUP(I97,Data!AA4:AD24,4,FALSE),Data!I4:T15,12,FALSE)</f>
        <v>22</v>
      </c>
      <c r="K105" s="201" t="str">
        <f>IF(H100="(*)",Translation!B81," ")</f>
        <v>(*) Code available on special request</v>
      </c>
      <c r="L105" s="201"/>
      <c r="M105" s="201"/>
      <c r="N105" s="184"/>
    </row>
    <row r="106" spans="4:27" ht="20.100000000000001" customHeight="1" x14ac:dyDescent="0.2">
      <c r="D106" s="183"/>
      <c r="E106" s="99" t="str">
        <f>Translation!B77</f>
        <v>Holes</v>
      </c>
      <c r="F106" s="197" t="s">
        <v>306</v>
      </c>
      <c r="G106" s="197" t="s">
        <v>305</v>
      </c>
      <c r="H106" s="215">
        <f>VLOOKUP(H97,Data!AA4:AG24,7,FALSE)*2</f>
        <v>72</v>
      </c>
      <c r="I106" s="215">
        <f>VLOOKUP(I97,Data!AA4:AG24,7,FALSE)*2</f>
        <v>12</v>
      </c>
      <c r="K106" s="201" t="str">
        <f>IF(I100="(**)",Translation!B82," ")</f>
        <v xml:space="preserve"> </v>
      </c>
      <c r="L106" s="201"/>
      <c r="M106" s="201"/>
      <c r="N106" s="184"/>
    </row>
    <row r="107" spans="4:27" ht="20.100000000000001" customHeight="1" x14ac:dyDescent="0.2">
      <c r="D107" s="183"/>
      <c r="E107" s="261" t="str">
        <f>Translation!B78</f>
        <v>Contact area between LOCK T connector and head or column</v>
      </c>
      <c r="F107" s="197" t="s">
        <v>397</v>
      </c>
      <c r="G107" s="197" t="s">
        <v>398</v>
      </c>
      <c r="H107" s="215">
        <f>VLOOKUP(VLOOKUP(H97,Data!$AA$4:$AD$24,4,FALSE),Data!$I$4:$L$15,4,FALSE)</f>
        <v>1945</v>
      </c>
      <c r="I107" s="215">
        <f>VLOOKUP(VLOOKUP(I97,Data!$AA$4:$AD$24,4,FALSE),Data!$I$4:$L$15,4,FALSE)</f>
        <v>924</v>
      </c>
      <c r="K107" s="256"/>
      <c r="L107" s="256"/>
      <c r="M107" s="256"/>
      <c r="N107" s="184"/>
    </row>
    <row r="108" spans="4:27" ht="20.100000000000001" customHeight="1" x14ac:dyDescent="0.2">
      <c r="D108" s="183"/>
      <c r="E108" s="99" t="str">
        <f>Translation!B79</f>
        <v>LOCK T connector length</v>
      </c>
      <c r="F108" s="197" t="s">
        <v>400</v>
      </c>
      <c r="G108" s="197" t="s">
        <v>261</v>
      </c>
      <c r="H108" s="215">
        <f>VLOOKUP(H97,Data!AA4:AC24,3,FALSE)</f>
        <v>290</v>
      </c>
      <c r="I108" s="215">
        <f>VLOOKUP(I97,Data!AA4:AC24,3,FALSE)</f>
        <v>135</v>
      </c>
      <c r="K108" s="411" t="str">
        <f>Translation!B83</f>
        <v>Connectors coupling:</v>
      </c>
      <c r="L108" s="411"/>
      <c r="M108" s="411"/>
      <c r="N108" s="184"/>
    </row>
    <row r="109" spans="4:27" ht="20.100000000000001" customHeight="1" x14ac:dyDescent="0.2">
      <c r="D109" s="183"/>
      <c r="E109" s="99" t="str">
        <f>Translation!B80</f>
        <v>Form factor</v>
      </c>
      <c r="F109" s="197" t="s">
        <v>402</v>
      </c>
      <c r="G109" s="197" t="s">
        <v>262</v>
      </c>
      <c r="H109" s="215">
        <f>VLOOKUP(VLOOKUP(H97,Data!$AA$4:$AD$24,4,FALSE),Data!$I$4:$S$15,11,FALSE)</f>
        <v>0.55000000000000004</v>
      </c>
      <c r="I109" s="215">
        <f>VLOOKUP(VLOOKUP(I97,Data!$AA$4:$AD$24,4,FALSE),Data!$I$4:$S$15,11,FALSE)</f>
        <v>0.65</v>
      </c>
      <c r="K109" s="256"/>
      <c r="L109" s="256"/>
      <c r="M109" s="256"/>
      <c r="N109" s="184"/>
    </row>
    <row r="110" spans="4:27" ht="9.9499999999999993" customHeight="1" x14ac:dyDescent="0.2">
      <c r="D110" s="183"/>
      <c r="N110" s="184"/>
    </row>
    <row r="111" spans="4:27" ht="20.100000000000001" customHeight="1" x14ac:dyDescent="0.2">
      <c r="D111" s="183"/>
      <c r="E111" s="99" t="str">
        <f>Translation!B84</f>
        <v>Fastening screws main element</v>
      </c>
      <c r="H111" s="297" t="s">
        <v>1330</v>
      </c>
      <c r="I111" s="255" t="str">
        <f>H111</f>
        <v>LBS Ø 7 x 80</v>
      </c>
      <c r="N111" s="184"/>
    </row>
    <row r="112" spans="4:27" ht="9.9499999999999993" customHeight="1" x14ac:dyDescent="0.2">
      <c r="D112" s="183"/>
      <c r="N112" s="184"/>
    </row>
    <row r="113" spans="4:18" ht="20.100000000000001" customHeight="1" x14ac:dyDescent="0.2">
      <c r="D113" s="183"/>
      <c r="E113" s="99" t="str">
        <f>Translation!B85</f>
        <v>Screws code main element</v>
      </c>
      <c r="H113" s="214" t="str">
        <f>VLOOKUP(H111,Screws!C6:K34,9,FALSE)</f>
        <v>LBS780</v>
      </c>
      <c r="I113" s="214" t="str">
        <f t="shared" ref="I113:I122" si="0">H113</f>
        <v>LBS780</v>
      </c>
      <c r="N113" s="184"/>
    </row>
    <row r="114" spans="4:18" ht="20.100000000000001" customHeight="1" x14ac:dyDescent="0.2">
      <c r="D114" s="183"/>
      <c r="E114" s="99" t="str">
        <f>Translation!B86</f>
        <v>Nominal diameter</v>
      </c>
      <c r="F114" s="197" t="s">
        <v>291</v>
      </c>
      <c r="G114" s="197" t="s">
        <v>261</v>
      </c>
      <c r="H114" s="215">
        <f>VLOOKUP(H111,Screws!AG6:AP34,2,FALSE)</f>
        <v>7</v>
      </c>
      <c r="I114" s="215">
        <f t="shared" si="0"/>
        <v>7</v>
      </c>
      <c r="N114" s="184"/>
    </row>
    <row r="115" spans="4:18" ht="20.100000000000001" customHeight="1" x14ac:dyDescent="0.2">
      <c r="D115" s="183"/>
      <c r="E115" s="99" t="str">
        <f>Translation!B87</f>
        <v>Thread diameter</v>
      </c>
      <c r="F115" s="197" t="s">
        <v>292</v>
      </c>
      <c r="G115" s="197" t="s">
        <v>261</v>
      </c>
      <c r="H115" s="215">
        <f>VLOOKUP(H111,Screws!AG6:AP34,3,FALSE)</f>
        <v>4.4000000000000004</v>
      </c>
      <c r="I115" s="215">
        <f t="shared" si="0"/>
        <v>4.4000000000000004</v>
      </c>
      <c r="N115" s="184"/>
    </row>
    <row r="116" spans="4:18" ht="20.100000000000001" customHeight="1" x14ac:dyDescent="0.2">
      <c r="D116" s="183"/>
      <c r="E116" s="99" t="str">
        <f>Translation!B88</f>
        <v>Head diameter</v>
      </c>
      <c r="F116" s="197" t="s">
        <v>293</v>
      </c>
      <c r="G116" s="197" t="s">
        <v>261</v>
      </c>
      <c r="H116" s="215">
        <f>VLOOKUP(H111,Screws!AG6:AP34,4,FALSE)</f>
        <v>11</v>
      </c>
      <c r="I116" s="215">
        <f t="shared" si="0"/>
        <v>11</v>
      </c>
      <c r="N116" s="184"/>
    </row>
    <row r="117" spans="4:18" ht="20.100000000000001" customHeight="1" x14ac:dyDescent="0.2">
      <c r="D117" s="183"/>
      <c r="E117" s="99" t="str">
        <f>Translation!B89</f>
        <v>Length</v>
      </c>
      <c r="F117" s="197" t="s">
        <v>290</v>
      </c>
      <c r="G117" s="197" t="s">
        <v>261</v>
      </c>
      <c r="H117" s="215">
        <f>VLOOKUP(H111,Screws!AG6:AP34,5,FALSE)</f>
        <v>80</v>
      </c>
      <c r="I117" s="215">
        <f t="shared" si="0"/>
        <v>80</v>
      </c>
      <c r="N117" s="184"/>
    </row>
    <row r="118" spans="4:18" ht="20.100000000000001" customHeight="1" x14ac:dyDescent="0.2">
      <c r="D118" s="183"/>
      <c r="E118" s="99" t="str">
        <f>Translation!B90</f>
        <v>Thread length</v>
      </c>
      <c r="F118" s="197" t="s">
        <v>294</v>
      </c>
      <c r="G118" s="197" t="s">
        <v>261</v>
      </c>
      <c r="H118" s="215">
        <f>VLOOKUP(H111,Screws!AG6:AP34,6,FALSE)</f>
        <v>75</v>
      </c>
      <c r="I118" s="215">
        <f t="shared" si="0"/>
        <v>75</v>
      </c>
      <c r="N118" s="184"/>
    </row>
    <row r="119" spans="4:18" ht="20.100000000000001" customHeight="1" x14ac:dyDescent="0.2">
      <c r="D119" s="183"/>
      <c r="E119" s="99" t="str">
        <f>Translation!B91</f>
        <v>Characteristic withdrawal parameter</v>
      </c>
      <c r="F119" s="197" t="s">
        <v>295</v>
      </c>
      <c r="G119" s="197" t="s">
        <v>299</v>
      </c>
      <c r="H119" s="215">
        <f>VLOOKUP(H111,Screws!AG6:AP34,7,FALSE)</f>
        <v>11.7</v>
      </c>
      <c r="I119" s="215">
        <f t="shared" si="0"/>
        <v>11.7</v>
      </c>
      <c r="N119" s="184"/>
    </row>
    <row r="120" spans="4:18" ht="20.100000000000001" customHeight="1" x14ac:dyDescent="0.2">
      <c r="D120" s="183"/>
      <c r="E120" s="99" t="str">
        <f>Translation!B92</f>
        <v>Associated density</v>
      </c>
      <c r="F120" s="197" t="s">
        <v>296</v>
      </c>
      <c r="G120" s="197" t="s">
        <v>300</v>
      </c>
      <c r="H120" s="215">
        <f>VLOOKUP(H111,Screws!AG6:AP34,8,FALSE)</f>
        <v>350</v>
      </c>
      <c r="I120" s="215">
        <f t="shared" si="0"/>
        <v>350</v>
      </c>
      <c r="N120" s="184"/>
    </row>
    <row r="121" spans="4:18" ht="20.100000000000001" customHeight="1" x14ac:dyDescent="0.2">
      <c r="D121" s="183"/>
      <c r="E121" s="99" t="str">
        <f>Translation!B93</f>
        <v>Characteristic tensile strength</v>
      </c>
      <c r="F121" s="197" t="s">
        <v>297</v>
      </c>
      <c r="G121" s="197" t="s">
        <v>258</v>
      </c>
      <c r="H121" s="215">
        <f>VLOOKUP(H111,Screws!AG6:AP34,9,FALSE)</f>
        <v>15.4</v>
      </c>
      <c r="I121" s="215">
        <f t="shared" si="0"/>
        <v>15.4</v>
      </c>
      <c r="N121" s="184"/>
    </row>
    <row r="122" spans="4:18" ht="20.100000000000001" customHeight="1" x14ac:dyDescent="0.2">
      <c r="D122" s="183"/>
      <c r="E122" s="99" t="str">
        <f>Translation!B94</f>
        <v>Characteristic yield moment</v>
      </c>
      <c r="F122" s="197" t="s">
        <v>323</v>
      </c>
      <c r="G122" s="197" t="s">
        <v>324</v>
      </c>
      <c r="H122" s="215">
        <f>VLOOKUP(H111,Screws!AG6:AP34,10,FALSE)</f>
        <v>14.2</v>
      </c>
      <c r="I122" s="215">
        <f t="shared" si="0"/>
        <v>14.2</v>
      </c>
      <c r="N122" s="184"/>
    </row>
    <row r="123" spans="4:18" ht="9.9499999999999993" customHeight="1" x14ac:dyDescent="0.2">
      <c r="D123" s="183"/>
      <c r="F123" s="197"/>
      <c r="G123" s="197"/>
      <c r="H123" s="215"/>
      <c r="I123" s="215"/>
      <c r="N123" s="184"/>
    </row>
    <row r="124" spans="4:18" ht="20.100000000000001" customHeight="1" x14ac:dyDescent="0.2">
      <c r="D124" s="183"/>
      <c r="E124" s="99" t="str">
        <f>Translation!B95</f>
        <v>Fastening screws secondary beam</v>
      </c>
      <c r="F124" s="242"/>
      <c r="H124" s="297" t="s">
        <v>1330</v>
      </c>
      <c r="I124" s="255" t="str">
        <f>H124</f>
        <v>LBS Ø 7 x 80</v>
      </c>
      <c r="N124" s="184"/>
    </row>
    <row r="125" spans="4:18" ht="9.9499999999999993" customHeight="1" x14ac:dyDescent="0.2">
      <c r="D125" s="183"/>
      <c r="F125" s="197"/>
      <c r="G125" s="197"/>
      <c r="H125" s="215"/>
      <c r="I125" s="215"/>
      <c r="N125" s="184"/>
    </row>
    <row r="126" spans="4:18" ht="20.100000000000001" customHeight="1" x14ac:dyDescent="0.2">
      <c r="D126" s="183"/>
      <c r="E126" s="99" t="str">
        <f>Translation!B97</f>
        <v>Screws code secondary beam</v>
      </c>
      <c r="H126" s="214" t="str">
        <f>VLOOKUP(H124,Screws!$C$6:$K$34,9,FALSE)</f>
        <v>LBS780</v>
      </c>
      <c r="I126" s="214" t="str">
        <f t="shared" ref="I126:I135" si="1">H126</f>
        <v>LBS780</v>
      </c>
      <c r="K126" s="411" t="str">
        <f>Translation!B96</f>
        <v>Flat configuration:</v>
      </c>
      <c r="L126" s="411"/>
      <c r="M126" s="411"/>
      <c r="N126" s="184"/>
    </row>
    <row r="127" spans="4:18" ht="20.100000000000001" customHeight="1" x14ac:dyDescent="0.2">
      <c r="D127" s="183"/>
      <c r="E127" s="99" t="str">
        <f>Translation!B98</f>
        <v>Nominal diameter</v>
      </c>
      <c r="F127" s="197" t="s">
        <v>291</v>
      </c>
      <c r="G127" s="197" t="s">
        <v>261</v>
      </c>
      <c r="H127" s="215">
        <f>VLOOKUP(H124,Screws!$AG$6:$AP$34,2,FALSE)</f>
        <v>7</v>
      </c>
      <c r="I127" s="215">
        <f t="shared" si="1"/>
        <v>7</v>
      </c>
      <c r="N127" s="184"/>
      <c r="R127" s="99" t="str" cm="1">
        <f t="array" ref="R127:R132">IF(H97="LOCK-T 18 80",Screws!C37,IF($AC$86&lt;130,IF(H45=3,Screws!V13:V14,Screws!$V$6:$V$9),IF(H45=3,Screws!X13:X16,Screws!$X$6:$X$11)))</f>
        <v>LBS Ø 5 x 25</v>
      </c>
    </row>
    <row r="128" spans="4:18" ht="20.100000000000001" customHeight="1" x14ac:dyDescent="0.2">
      <c r="D128" s="183"/>
      <c r="E128" s="99" t="str">
        <f>Translation!B99</f>
        <v>Thread diameter</v>
      </c>
      <c r="F128" s="197" t="s">
        <v>292</v>
      </c>
      <c r="G128" s="197" t="s">
        <v>261</v>
      </c>
      <c r="H128" s="215">
        <f>VLOOKUP(H124,Screws!$AG$6:$AP$34,3,FALSE)</f>
        <v>4.4000000000000004</v>
      </c>
      <c r="I128" s="215">
        <f t="shared" si="1"/>
        <v>4.4000000000000004</v>
      </c>
      <c r="N128" s="184"/>
      <c r="R128" s="99" t="str">
        <v>LBS Ø 5 x 40</v>
      </c>
    </row>
    <row r="129" spans="4:18" ht="20.100000000000001" customHeight="1" x14ac:dyDescent="0.2">
      <c r="D129" s="183"/>
      <c r="E129" s="99" t="str">
        <f>Translation!B100</f>
        <v>Head diameter</v>
      </c>
      <c r="F129" s="197" t="s">
        <v>293</v>
      </c>
      <c r="G129" s="197" t="s">
        <v>261</v>
      </c>
      <c r="H129" s="215">
        <f>VLOOKUP(H124,Screws!$AG$6:$AP$34,4,FALSE)</f>
        <v>11</v>
      </c>
      <c r="I129" s="215">
        <f t="shared" si="1"/>
        <v>11</v>
      </c>
      <c r="N129" s="184"/>
      <c r="R129" s="99" t="str">
        <v>LBS Ø 5 x 50</v>
      </c>
    </row>
    <row r="130" spans="4:18" ht="20.100000000000001" customHeight="1" x14ac:dyDescent="0.2">
      <c r="D130" s="183"/>
      <c r="E130" s="99" t="str">
        <f>Translation!B101</f>
        <v>Length</v>
      </c>
      <c r="F130" s="197" t="s">
        <v>290</v>
      </c>
      <c r="G130" s="197" t="s">
        <v>261</v>
      </c>
      <c r="H130" s="215">
        <f>VLOOKUP(H124,Screws!$AG$6:$AP$34,5,FALSE)</f>
        <v>80</v>
      </c>
      <c r="I130" s="215">
        <f t="shared" si="1"/>
        <v>80</v>
      </c>
      <c r="N130" s="184"/>
      <c r="R130" s="99" t="str">
        <v>LBS Ø 5 x 60</v>
      </c>
    </row>
    <row r="131" spans="4:18" ht="20.100000000000001" customHeight="1" x14ac:dyDescent="0.2">
      <c r="D131" s="183"/>
      <c r="E131" s="99" t="str">
        <f>Translation!B102</f>
        <v>Thread length</v>
      </c>
      <c r="F131" s="197" t="s">
        <v>294</v>
      </c>
      <c r="G131" s="197" t="s">
        <v>261</v>
      </c>
      <c r="H131" s="215">
        <f>VLOOKUP(H124,Screws!$AG$6:$AP$34,6,FALSE)</f>
        <v>75</v>
      </c>
      <c r="I131" s="215">
        <f t="shared" si="1"/>
        <v>75</v>
      </c>
      <c r="N131" s="184"/>
      <c r="R131" s="99" t="str">
        <v>LBS Ø 5 x 70</v>
      </c>
    </row>
    <row r="132" spans="4:18" ht="20.100000000000001" customHeight="1" x14ac:dyDescent="0.2">
      <c r="D132" s="183"/>
      <c r="E132" s="99" t="str">
        <f>Translation!B103</f>
        <v>Characteristic withdrawal parameter</v>
      </c>
      <c r="F132" s="197" t="s">
        <v>295</v>
      </c>
      <c r="G132" s="197" t="s">
        <v>299</v>
      </c>
      <c r="H132" s="215">
        <f>VLOOKUP(H124,Screws!$AG$6:$AP$34,7,FALSE)</f>
        <v>11.7</v>
      </c>
      <c r="I132" s="215">
        <f t="shared" si="1"/>
        <v>11.7</v>
      </c>
      <c r="N132" s="184"/>
      <c r="R132" s="99" t="str">
        <v>NO</v>
      </c>
    </row>
    <row r="133" spans="4:18" ht="20.100000000000001" customHeight="1" x14ac:dyDescent="0.2">
      <c r="D133" s="183"/>
      <c r="E133" s="99" t="str">
        <f>Translation!B104</f>
        <v>Associated density</v>
      </c>
      <c r="F133" s="197" t="s">
        <v>296</v>
      </c>
      <c r="G133" s="197" t="s">
        <v>300</v>
      </c>
      <c r="H133" s="215">
        <f>VLOOKUP(H124,Screws!$AG$6:$AP$34,8,FALSE)</f>
        <v>350</v>
      </c>
      <c r="I133" s="215">
        <f t="shared" si="1"/>
        <v>350</v>
      </c>
      <c r="N133" s="184"/>
    </row>
    <row r="134" spans="4:18" ht="20.100000000000001" customHeight="1" x14ac:dyDescent="0.2">
      <c r="D134" s="183"/>
      <c r="E134" s="99" t="str">
        <f>Translation!B105</f>
        <v>Characteristic tensile strength</v>
      </c>
      <c r="F134" s="197" t="s">
        <v>297</v>
      </c>
      <c r="G134" s="197" t="s">
        <v>258</v>
      </c>
      <c r="H134" s="215">
        <f>VLOOKUP(H124,Screws!$AG$6:$AP$34,9,FALSE)</f>
        <v>15.4</v>
      </c>
      <c r="I134" s="215">
        <f t="shared" si="1"/>
        <v>15.4</v>
      </c>
      <c r="N134" s="184"/>
    </row>
    <row r="135" spans="4:18" ht="20.100000000000001" customHeight="1" x14ac:dyDescent="0.2">
      <c r="D135" s="183"/>
      <c r="E135" s="99" t="str">
        <f>Translation!B106</f>
        <v>Characteristic yield moment</v>
      </c>
      <c r="F135" s="197" t="s">
        <v>323</v>
      </c>
      <c r="G135" s="197" t="s">
        <v>324</v>
      </c>
      <c r="H135" s="215">
        <f>VLOOKUP(H124,Screws!$AG$6:$AP$34,10,FALSE)</f>
        <v>14.2</v>
      </c>
      <c r="I135" s="215">
        <f t="shared" si="1"/>
        <v>14.2</v>
      </c>
      <c r="N135" s="184"/>
    </row>
    <row r="136" spans="4:18" ht="9.9499999999999993" customHeight="1" x14ac:dyDescent="0.2">
      <c r="D136" s="183"/>
      <c r="N136" s="184"/>
    </row>
    <row r="137" spans="4:18" ht="20.100000000000001" hidden="1" customHeight="1" x14ac:dyDescent="0.2">
      <c r="D137" s="183"/>
      <c r="H137" s="99"/>
      <c r="I137" s="99"/>
      <c r="N137" s="184"/>
    </row>
    <row r="138" spans="4:18" ht="20.100000000000001" customHeight="1" x14ac:dyDescent="0.2">
      <c r="D138" s="183"/>
      <c r="E138" s="200" t="str">
        <f>Translation!B108</f>
        <v>Type of LOCK STOP connector</v>
      </c>
      <c r="H138" s="294" t="s">
        <v>1331</v>
      </c>
      <c r="I138" s="99"/>
      <c r="N138" s="184"/>
    </row>
    <row r="139" spans="4:18" ht="9.9499999999999993" customHeight="1" x14ac:dyDescent="0.2">
      <c r="D139" s="183"/>
      <c r="H139" s="99"/>
      <c r="I139" s="99"/>
      <c r="N139" s="184"/>
    </row>
    <row r="140" spans="4:18" ht="9.9499999999999993" customHeight="1" x14ac:dyDescent="0.2">
      <c r="D140" s="183"/>
      <c r="N140" s="184"/>
    </row>
    <row r="141" spans="4:18" ht="20.100000000000001" customHeight="1" x14ac:dyDescent="0.2">
      <c r="D141" s="183"/>
      <c r="E141" s="99" t="str">
        <f>Translation!B109</f>
        <v>Inclined screws for lifting and/or lateral resistance</v>
      </c>
      <c r="H141" s="297" t="s">
        <v>1341</v>
      </c>
      <c r="I141" s="255" t="str">
        <f>H141</f>
        <v>LBS Ø 5 x 60</v>
      </c>
      <c r="N141" s="184"/>
    </row>
    <row r="142" spans="4:18" ht="20.100000000000001" customHeight="1" x14ac:dyDescent="0.2">
      <c r="D142" s="183"/>
      <c r="E142" s="99" t="str">
        <f>Translation!B110</f>
        <v>Number of inclined screws</v>
      </c>
      <c r="F142" s="197" t="s">
        <v>404</v>
      </c>
      <c r="G142" s="197" t="s">
        <v>261</v>
      </c>
      <c r="H142" s="215">
        <f>Uplift!AG30</f>
        <v>3</v>
      </c>
      <c r="I142" s="215">
        <f>Uplift!AG31</f>
        <v>1</v>
      </c>
      <c r="N142" s="184"/>
    </row>
    <row r="143" spans="4:18" ht="9.9499999999999993" customHeight="1" x14ac:dyDescent="0.2">
      <c r="D143" s="183"/>
      <c r="I143" s="243"/>
      <c r="N143" s="184"/>
    </row>
    <row r="144" spans="4:18" ht="20.100000000000001" customHeight="1" x14ac:dyDescent="0.2">
      <c r="D144" s="183"/>
      <c r="E144" s="99" t="str">
        <f>Translation!B111</f>
        <v>Screws code</v>
      </c>
      <c r="H144" s="214" t="str">
        <f>IF(H141="NO","-",VLOOKUP(H141,Screws!C6:K34,9,FALSE))</f>
        <v>LBS560</v>
      </c>
      <c r="I144" s="214" t="str">
        <f>H144</f>
        <v>LBS560</v>
      </c>
      <c r="N144" s="184"/>
    </row>
    <row r="145" spans="4:14" ht="20.100000000000001" customHeight="1" x14ac:dyDescent="0.2">
      <c r="D145" s="183"/>
      <c r="E145" s="99" t="str">
        <f>Translation!B112</f>
        <v>Nominal diameter</v>
      </c>
      <c r="F145" s="197" t="s">
        <v>291</v>
      </c>
      <c r="G145" s="197" t="s">
        <v>261</v>
      </c>
      <c r="H145" s="215">
        <f>IF(H141="NO","-",VLOOKUP(H141,Screws!AG6:AP34,2,FALSE))</f>
        <v>5</v>
      </c>
      <c r="I145" s="215">
        <f t="shared" ref="I145:I153" si="2">H145</f>
        <v>5</v>
      </c>
      <c r="N145" s="184"/>
    </row>
    <row r="146" spans="4:14" ht="20.100000000000001" customHeight="1" x14ac:dyDescent="0.2">
      <c r="D146" s="183"/>
      <c r="E146" s="99" t="str">
        <f>Translation!B113</f>
        <v>Thread diameter</v>
      </c>
      <c r="F146" s="197" t="s">
        <v>292</v>
      </c>
      <c r="G146" s="197" t="s">
        <v>261</v>
      </c>
      <c r="H146" s="215">
        <f>IF(H141="NO","-",VLOOKUP(H141,Screws!AG6:AP34,3,FALSE))</f>
        <v>3</v>
      </c>
      <c r="I146" s="215">
        <f t="shared" si="2"/>
        <v>3</v>
      </c>
      <c r="N146" s="184"/>
    </row>
    <row r="147" spans="4:14" ht="20.100000000000001" customHeight="1" x14ac:dyDescent="0.2">
      <c r="D147" s="183"/>
      <c r="E147" s="99" t="str">
        <f>Translation!B114</f>
        <v>Head diameter</v>
      </c>
      <c r="F147" s="197" t="s">
        <v>293</v>
      </c>
      <c r="G147" s="197" t="s">
        <v>261</v>
      </c>
      <c r="H147" s="215">
        <f>IF(H141="NO","-",VLOOKUP(H141,Screws!AG6:AP34,4,FALSE))</f>
        <v>7.8</v>
      </c>
      <c r="I147" s="215">
        <f t="shared" si="2"/>
        <v>7.8</v>
      </c>
      <c r="N147" s="184"/>
    </row>
    <row r="148" spans="4:14" ht="20.100000000000001" customHeight="1" x14ac:dyDescent="0.2">
      <c r="D148" s="183"/>
      <c r="E148" s="99" t="str">
        <f>Translation!B115</f>
        <v>Length</v>
      </c>
      <c r="F148" s="197" t="s">
        <v>290</v>
      </c>
      <c r="G148" s="197" t="s">
        <v>261</v>
      </c>
      <c r="H148" s="215">
        <f>IF(H141="NO","-",VLOOKUP(H141,Screws!AG6:AP34,5,FALSE))</f>
        <v>60</v>
      </c>
      <c r="I148" s="215">
        <f t="shared" si="2"/>
        <v>60</v>
      </c>
      <c r="N148" s="184"/>
    </row>
    <row r="149" spans="4:14" ht="20.100000000000001" customHeight="1" x14ac:dyDescent="0.2">
      <c r="D149" s="183"/>
      <c r="E149" s="99" t="str">
        <f>Translation!B116</f>
        <v>Thread length</v>
      </c>
      <c r="F149" s="197" t="s">
        <v>294</v>
      </c>
      <c r="G149" s="197" t="s">
        <v>261</v>
      </c>
      <c r="H149" s="215">
        <f>IF(H141="NO","-",VLOOKUP(H141,Screws!AG6:AP34,6,FALSE))</f>
        <v>56</v>
      </c>
      <c r="I149" s="215">
        <f t="shared" si="2"/>
        <v>56</v>
      </c>
      <c r="N149" s="184"/>
    </row>
    <row r="150" spans="4:14" ht="20.100000000000001" customHeight="1" x14ac:dyDescent="0.2">
      <c r="D150" s="183"/>
      <c r="E150" s="99" t="str">
        <f>Translation!B117</f>
        <v>Characteristic withdrawal parameter</v>
      </c>
      <c r="F150" s="197" t="s">
        <v>295</v>
      </c>
      <c r="G150" s="197" t="s">
        <v>299</v>
      </c>
      <c r="H150" s="215">
        <f>IF(H141="NO","-",VLOOKUP(H141,Screws!AG6:AP34,7,FALSE))</f>
        <v>11.7</v>
      </c>
      <c r="I150" s="215">
        <f t="shared" si="2"/>
        <v>11.7</v>
      </c>
      <c r="N150" s="184"/>
    </row>
    <row r="151" spans="4:14" ht="20.100000000000001" customHeight="1" x14ac:dyDescent="0.2">
      <c r="D151" s="183"/>
      <c r="E151" s="99" t="str">
        <f>Translation!B118</f>
        <v>Associated density</v>
      </c>
      <c r="F151" s="197" t="s">
        <v>296</v>
      </c>
      <c r="G151" s="197" t="s">
        <v>300</v>
      </c>
      <c r="H151" s="215">
        <f>IF(H141="NO","-",VLOOKUP(H141,Screws!AG6:AP34,8,FALSE))</f>
        <v>350</v>
      </c>
      <c r="I151" s="215">
        <f t="shared" si="2"/>
        <v>350</v>
      </c>
      <c r="N151" s="184"/>
    </row>
    <row r="152" spans="4:14" ht="20.100000000000001" customHeight="1" x14ac:dyDescent="0.2">
      <c r="D152" s="183"/>
      <c r="E152" s="99" t="str">
        <f>Translation!B119</f>
        <v>Characteristic tensile strength</v>
      </c>
      <c r="F152" s="197" t="s">
        <v>297</v>
      </c>
      <c r="G152" s="197" t="s">
        <v>258</v>
      </c>
      <c r="H152" s="215">
        <f>IF(H141="NO","-",VLOOKUP(H141,Screws!AG6:AP34,9,FALSE))</f>
        <v>7.9</v>
      </c>
      <c r="I152" s="215">
        <f t="shared" si="2"/>
        <v>7.9</v>
      </c>
      <c r="N152" s="184"/>
    </row>
    <row r="153" spans="4:14" ht="20.100000000000001" customHeight="1" x14ac:dyDescent="0.2">
      <c r="D153" s="186"/>
      <c r="E153" s="99" t="str">
        <f>Translation!B120</f>
        <v>Characteristic yield moment</v>
      </c>
      <c r="F153" s="197" t="s">
        <v>323</v>
      </c>
      <c r="G153" s="197" t="s">
        <v>324</v>
      </c>
      <c r="H153" s="215">
        <f>IF(H141="NO","-",VLOOKUP(H141,Screws!AG6:AP34,10,FALSE))</f>
        <v>5.4</v>
      </c>
      <c r="I153" s="215">
        <f t="shared" si="2"/>
        <v>5.4</v>
      </c>
      <c r="N153" s="184"/>
    </row>
    <row r="154" spans="4:14" ht="9.9499999999999993" customHeight="1" x14ac:dyDescent="0.2">
      <c r="D154" s="186"/>
      <c r="N154" s="184"/>
    </row>
    <row r="155" spans="4:14" ht="30" customHeight="1" x14ac:dyDescent="0.2">
      <c r="D155" s="186"/>
      <c r="E155" s="221" t="str">
        <f>Translation!B141</f>
        <v>6. Design checks for individual direction</v>
      </c>
      <c r="F155" s="221"/>
      <c r="G155" s="221"/>
      <c r="H155" s="221"/>
      <c r="I155" s="221"/>
      <c r="J155" s="221"/>
      <c r="K155" s="221"/>
      <c r="L155" s="221"/>
      <c r="M155" s="221"/>
      <c r="N155" s="184"/>
    </row>
    <row r="156" spans="4:14" ht="9.9499999999999993" customHeight="1" x14ac:dyDescent="0.2">
      <c r="D156" s="186"/>
      <c r="E156" s="196"/>
      <c r="F156" s="100"/>
      <c r="G156" s="100"/>
      <c r="N156" s="184"/>
    </row>
    <row r="157" spans="4:14" ht="20.100000000000001" customHeight="1" x14ac:dyDescent="0.2">
      <c r="D157" s="186"/>
      <c r="E157" s="372" t="str">
        <f>Translation!B142</f>
        <v>Dimensioning and life of the timber elements must be carried out separately. In particular, for loads perpendicular to the beam axis, it is recommended to perform a splitting check in both wooden elements.</v>
      </c>
      <c r="F157" s="100"/>
      <c r="G157" s="100"/>
      <c r="N157" s="184"/>
    </row>
    <row r="158" spans="4:14" ht="20.100000000000001" customHeight="1" x14ac:dyDescent="0.2">
      <c r="D158" s="186"/>
      <c r="E158" s="372"/>
      <c r="F158" s="100"/>
      <c r="G158" s="100"/>
      <c r="N158" s="184"/>
    </row>
    <row r="159" spans="4:14" ht="20.100000000000001" customHeight="1" x14ac:dyDescent="0.2">
      <c r="D159" s="186"/>
      <c r="E159" s="372"/>
      <c r="F159" s="100"/>
      <c r="G159" s="100"/>
      <c r="N159" s="184"/>
    </row>
    <row r="160" spans="4:14" ht="20.100000000000001" customHeight="1" x14ac:dyDescent="0.2">
      <c r="D160" s="186"/>
      <c r="E160" s="372"/>
      <c r="F160" s="100"/>
      <c r="G160" s="100"/>
      <c r="N160" s="184"/>
    </row>
    <row r="161" spans="4:29" ht="20.100000000000001" customHeight="1" x14ac:dyDescent="0.2">
      <c r="D161" s="186"/>
      <c r="E161" s="372"/>
      <c r="F161" s="100"/>
      <c r="G161" s="100"/>
      <c r="N161" s="184"/>
    </row>
    <row r="162" spans="4:29" ht="9.9499999999999993" customHeight="1" x14ac:dyDescent="0.2">
      <c r="D162" s="186"/>
      <c r="E162" s="100"/>
      <c r="F162" s="100"/>
      <c r="G162" s="100"/>
      <c r="N162" s="184"/>
    </row>
    <row r="163" spans="4:29" ht="9.9499999999999993" customHeight="1" x14ac:dyDescent="0.2">
      <c r="D163" s="186"/>
      <c r="E163" s="100"/>
      <c r="F163" s="100"/>
      <c r="G163" s="100"/>
      <c r="N163" s="184"/>
    </row>
    <row r="164" spans="4:29" ht="9.9499999999999993" customHeight="1" x14ac:dyDescent="0.2">
      <c r="D164" s="183"/>
      <c r="H164" s="99"/>
      <c r="I164" s="99"/>
      <c r="N164" s="184"/>
    </row>
    <row r="165" spans="4:29" ht="9.9499999999999993" customHeight="1" x14ac:dyDescent="0.2">
      <c r="D165" s="183"/>
      <c r="F165" s="100"/>
      <c r="G165" s="100"/>
      <c r="N165" s="184"/>
      <c r="AB165" s="99" t="str">
        <f>Translation!B3</f>
        <v>No</v>
      </c>
      <c r="AC165" s="99" t="str">
        <f>Translation!B2</f>
        <v>Yes</v>
      </c>
    </row>
    <row r="166" spans="4:29" ht="39.950000000000003" customHeight="1" x14ac:dyDescent="0.2">
      <c r="D166" s="183"/>
      <c r="E166" s="196"/>
      <c r="F166" s="100"/>
      <c r="G166" s="100"/>
      <c r="N166" s="184"/>
      <c r="AB166" s="99" t="s">
        <v>142</v>
      </c>
      <c r="AC166" s="99" t="s">
        <v>143</v>
      </c>
    </row>
    <row r="167" spans="4:29" ht="20.100000000000001" customHeight="1" x14ac:dyDescent="0.2">
      <c r="D167" s="183"/>
      <c r="E167" s="203" t="str">
        <f>Translation!B143</f>
        <v>6.1 Vertical shear (Fv)</v>
      </c>
      <c r="F167" s="100"/>
      <c r="G167" s="100"/>
      <c r="N167" s="184"/>
      <c r="AB167" s="99" t="s">
        <v>139</v>
      </c>
      <c r="AC167" s="99" t="s">
        <v>139</v>
      </c>
    </row>
    <row r="168" spans="4:29" ht="9.9499999999999993" customHeight="1" x14ac:dyDescent="0.2">
      <c r="D168" s="183"/>
      <c r="E168" s="100"/>
      <c r="F168" s="100"/>
      <c r="G168" s="100"/>
      <c r="N168" s="184"/>
      <c r="AA168" s="99" t="s">
        <v>144</v>
      </c>
      <c r="AB168" s="99">
        <v>1.5</v>
      </c>
      <c r="AC168" s="99">
        <v>1.4</v>
      </c>
    </row>
    <row r="169" spans="4:29" ht="20.100000000000001" customHeight="1" x14ac:dyDescent="0.2">
      <c r="D169" s="183"/>
      <c r="E169" s="99" t="str">
        <f>Translation!B144</f>
        <v>Characteristic resistance to bearing stress main element</v>
      </c>
      <c r="F169" s="99" t="s">
        <v>414</v>
      </c>
      <c r="G169" s="99" t="s">
        <v>415</v>
      </c>
      <c r="H169" s="263">
        <f>V_downward!AO6</f>
        <v>17.609424784823478</v>
      </c>
      <c r="N169" s="184"/>
    </row>
    <row r="170" spans="4:29" ht="30" customHeight="1" x14ac:dyDescent="0.2">
      <c r="D170" s="183"/>
      <c r="E170" s="261" t="str">
        <f>Translation!B145</f>
        <v>Characteristic axial capacity of a screw on main element</v>
      </c>
      <c r="F170" s="99" t="s">
        <v>413</v>
      </c>
      <c r="G170" s="99" t="s">
        <v>416</v>
      </c>
      <c r="H170" s="262">
        <f>V_downward!AU6</f>
        <v>6364.0055001584997</v>
      </c>
      <c r="N170" s="184"/>
    </row>
    <row r="171" spans="4:29" ht="30" customHeight="1" x14ac:dyDescent="0.2">
      <c r="D171" s="183"/>
      <c r="E171" s="261" t="str">
        <f>Translation!B146</f>
        <v>Load characteristic capacity for shear plane for fastening main element</v>
      </c>
      <c r="F171" s="99" t="s">
        <v>412</v>
      </c>
      <c r="G171" s="99" t="s">
        <v>416</v>
      </c>
      <c r="H171" s="262">
        <f>V_downward!AX6</f>
        <v>3740.7152391283153</v>
      </c>
      <c r="N171" s="184"/>
    </row>
    <row r="172" spans="4:29" ht="20.100000000000001" customHeight="1" x14ac:dyDescent="0.2">
      <c r="D172" s="183"/>
      <c r="E172" s="261" t="str">
        <f>Translation!B147</f>
        <v>Form factor</v>
      </c>
      <c r="F172" s="99" t="s">
        <v>119</v>
      </c>
      <c r="G172" s="99" t="s">
        <v>262</v>
      </c>
      <c r="H172" s="262">
        <f>V_downward!AZ6</f>
        <v>144</v>
      </c>
      <c r="N172" s="184"/>
    </row>
    <row r="173" spans="4:29" ht="20.100000000000001" customHeight="1" x14ac:dyDescent="0.2">
      <c r="D173" s="183"/>
      <c r="E173" s="261" t="str">
        <f>Translation!B148</f>
        <v>Characteristic strength main element</v>
      </c>
      <c r="F173" s="99" t="s">
        <v>437</v>
      </c>
      <c r="G173" s="99" t="s">
        <v>258</v>
      </c>
      <c r="H173" s="204">
        <f>IF(H99=2,(V_downward!$BA$6+secondo_V_downward!$BA$6)/1000,V_downward!$BA$6/1000)</f>
        <v>133.23491046445054</v>
      </c>
      <c r="I173" s="204"/>
      <c r="N173" s="184"/>
    </row>
    <row r="174" spans="4:29" ht="9.9499999999999993" customHeight="1" x14ac:dyDescent="0.2">
      <c r="D174" s="183"/>
      <c r="E174" s="99" t="s">
        <v>434</v>
      </c>
      <c r="H174" s="204"/>
      <c r="I174" s="204"/>
      <c r="N174" s="184"/>
    </row>
    <row r="175" spans="4:29" ht="20.100000000000001" customHeight="1" x14ac:dyDescent="0.2">
      <c r="D175" s="183"/>
      <c r="E175" s="99" t="str">
        <f>Translation!B149</f>
        <v>Characteristic strength aluminium</v>
      </c>
      <c r="F175" s="99" t="s">
        <v>438</v>
      </c>
      <c r="G175" s="99" t="s">
        <v>258</v>
      </c>
      <c r="H175" s="204">
        <f>IF(H99=2,(V_downward!$BB$6+secondo_V_downward!$BB$6)/1000,V_downward!$BB$6/1000)</f>
        <v>96</v>
      </c>
      <c r="I175" s="204"/>
      <c r="N175" s="184"/>
    </row>
    <row r="176" spans="4:29" ht="9.9499999999999993" customHeight="1" x14ac:dyDescent="0.2">
      <c r="D176" s="183"/>
      <c r="H176" s="204"/>
      <c r="I176" s="204"/>
      <c r="N176" s="184"/>
    </row>
    <row r="177" spans="4:32" ht="20.100000000000001" customHeight="1" x14ac:dyDescent="0.2">
      <c r="D177" s="183"/>
      <c r="E177" s="261" t="str">
        <f>Translation!B150</f>
        <v>Characteristic resistance to bearing stress secondary element</v>
      </c>
      <c r="F177" s="99" t="s">
        <v>417</v>
      </c>
      <c r="G177" s="99" t="s">
        <v>415</v>
      </c>
      <c r="H177" s="204">
        <f>V_downward!R6</f>
        <v>6.7693373198801936</v>
      </c>
      <c r="I177" s="204"/>
      <c r="N177" s="184"/>
    </row>
    <row r="178" spans="4:32" ht="30" customHeight="1" x14ac:dyDescent="0.2">
      <c r="D178" s="183"/>
      <c r="E178" s="261" t="str">
        <f>Translation!B151</f>
        <v>Characteristic axial capacity of a screw on secondary element</v>
      </c>
      <c r="F178" s="99" t="s">
        <v>418</v>
      </c>
      <c r="G178" s="99" t="s">
        <v>416</v>
      </c>
      <c r="H178" s="262">
        <f>V_downward!Y6</f>
        <v>6164.8617526610669</v>
      </c>
      <c r="I178" s="204"/>
      <c r="N178" s="184"/>
    </row>
    <row r="179" spans="4:32" ht="30" customHeight="1" x14ac:dyDescent="0.2">
      <c r="D179" s="183"/>
      <c r="E179" s="261" t="str">
        <f>Translation!B152</f>
        <v>Load characteristic capacity for shear plane for fastening secondary element</v>
      </c>
      <c r="F179" s="99" t="s">
        <v>419</v>
      </c>
      <c r="G179" s="99" t="s">
        <v>416</v>
      </c>
      <c r="H179" s="262">
        <f>V_downward!AB6</f>
        <v>2617.1958117017621</v>
      </c>
      <c r="I179" s="204"/>
      <c r="N179" s="184"/>
    </row>
    <row r="180" spans="4:32" ht="20.100000000000001" customHeight="1" x14ac:dyDescent="0.2">
      <c r="D180" s="183"/>
      <c r="E180" s="99" t="str">
        <f>Translation!B153</f>
        <v>Characteristic strength secondary element</v>
      </c>
      <c r="F180" s="99" t="s">
        <v>439</v>
      </c>
      <c r="G180" s="99" t="s">
        <v>258</v>
      </c>
      <c r="H180" s="204">
        <f>IF(H99=2,(V_downward!$AC$6+secondo_V_downward!$AC$6)/1000,V_downward!$AC$6/1000)</f>
        <v>94.219049221263447</v>
      </c>
      <c r="I180" s="204"/>
      <c r="N180" s="184"/>
    </row>
    <row r="181" spans="4:32" ht="9.9499999999999993" customHeight="1" x14ac:dyDescent="0.2">
      <c r="D181" s="183"/>
      <c r="E181" s="100"/>
      <c r="F181" s="205"/>
      <c r="H181" s="206"/>
      <c r="I181" s="206"/>
      <c r="N181" s="184"/>
      <c r="AA181" s="99" t="s">
        <v>141</v>
      </c>
      <c r="AB181" s="99" t="str">
        <f>Translation!B128</f>
        <v>Permanent</v>
      </c>
      <c r="AC181" s="99" t="str">
        <f>Translation!B129</f>
        <v>Long duration</v>
      </c>
      <c r="AD181" s="99" t="str">
        <f>Translation!B130</f>
        <v>Medium duration</v>
      </c>
      <c r="AE181" s="99" t="str">
        <f>Translation!B131</f>
        <v>Short duration</v>
      </c>
      <c r="AF181" s="99" t="str">
        <f>Translation!B132</f>
        <v>Instantaneous</v>
      </c>
    </row>
    <row r="182" spans="4:32" ht="20.100000000000001" customHeight="1" x14ac:dyDescent="0.2">
      <c r="D182" s="183"/>
      <c r="E182" s="99" t="str">
        <f>Translation!B154</f>
        <v>Characteristic strenght</v>
      </c>
      <c r="F182" s="197" t="s">
        <v>266</v>
      </c>
      <c r="G182" s="197" t="s">
        <v>258</v>
      </c>
      <c r="H182" s="207">
        <f>IF(H99=2,V_downward!$BC$6+secondo_V_downward!$BC$6,V_downward!$BC$6)</f>
        <v>94.219049221263447</v>
      </c>
      <c r="I182" s="207"/>
      <c r="N182" s="184"/>
      <c r="AA182" s="99">
        <v>1</v>
      </c>
      <c r="AB182" s="102">
        <v>0.6</v>
      </c>
      <c r="AC182" s="102">
        <v>0.7</v>
      </c>
      <c r="AD182" s="102">
        <v>0.8</v>
      </c>
      <c r="AE182" s="102">
        <v>0.9</v>
      </c>
      <c r="AF182" s="102">
        <v>1.1000000000000001</v>
      </c>
    </row>
    <row r="183" spans="4:32" ht="20.100000000000001" customHeight="1" x14ac:dyDescent="0.2">
      <c r="D183" s="183"/>
      <c r="E183" s="99" t="str">
        <f>Translation!B155</f>
        <v>Design strength</v>
      </c>
      <c r="F183" s="197" t="s">
        <v>267</v>
      </c>
      <c r="G183" s="197" t="s">
        <v>258</v>
      </c>
      <c r="H183" s="207">
        <f>MIN(($H$47*MIN(H173,H180))/$H$50,H175/H51)</f>
        <v>57.980953366931352</v>
      </c>
      <c r="I183" s="207"/>
      <c r="N183" s="184"/>
      <c r="AA183" s="99">
        <v>2</v>
      </c>
      <c r="AB183" s="102">
        <v>0.6</v>
      </c>
      <c r="AC183" s="102">
        <v>0.7</v>
      </c>
      <c r="AD183" s="102">
        <v>0.8</v>
      </c>
      <c r="AE183" s="102">
        <v>0.9</v>
      </c>
      <c r="AF183" s="102">
        <v>1.1000000000000001</v>
      </c>
    </row>
    <row r="184" spans="4:32" ht="20.100000000000001" customHeight="1" x14ac:dyDescent="0.2">
      <c r="D184" s="183"/>
      <c r="E184" s="99" t="str">
        <f>Translation!B33</f>
        <v>Vertical shear action</v>
      </c>
      <c r="F184" s="99" t="s">
        <v>1325</v>
      </c>
      <c r="G184" s="99" t="s">
        <v>258</v>
      </c>
      <c r="H184" s="204">
        <f>H56</f>
        <v>4</v>
      </c>
      <c r="I184" s="207"/>
      <c r="N184" s="184"/>
      <c r="AA184" s="99">
        <v>3</v>
      </c>
      <c r="AB184" s="102">
        <v>0.5</v>
      </c>
      <c r="AC184" s="102">
        <v>0.55000000000000004</v>
      </c>
      <c r="AD184" s="102">
        <v>0.65</v>
      </c>
      <c r="AE184" s="102">
        <v>0.7</v>
      </c>
      <c r="AF184" s="102">
        <v>0.9</v>
      </c>
    </row>
    <row r="185" spans="4:32" ht="30" customHeight="1" x14ac:dyDescent="0.2">
      <c r="D185" s="183"/>
      <c r="E185" s="99" t="str">
        <f>Translation!B156</f>
        <v>Verification of connection</v>
      </c>
      <c r="F185" s="392" t="str">
        <f>IF(H185&gt;1,Translation!B209,Translation!B208)</f>
        <v>VERIFIED</v>
      </c>
      <c r="G185" s="392"/>
      <c r="H185" s="260">
        <f>$H$56/H183</f>
        <v>6.8988172282819782E-2</v>
      </c>
      <c r="I185" s="231"/>
      <c r="N185" s="184"/>
    </row>
    <row r="186" spans="4:32" ht="9.9499999999999993" customHeight="1" x14ac:dyDescent="0.2">
      <c r="D186" s="183"/>
      <c r="F186" s="197"/>
      <c r="G186" s="395"/>
      <c r="H186" s="395"/>
      <c r="I186" s="205"/>
      <c r="N186" s="184"/>
    </row>
    <row r="187" spans="4:32" ht="9.9499999999999993" customHeight="1" x14ac:dyDescent="0.2">
      <c r="D187" s="183"/>
      <c r="E187" s="232"/>
      <c r="F187" s="233"/>
      <c r="G187" s="232"/>
      <c r="H187" s="234"/>
      <c r="I187" s="234"/>
      <c r="J187" s="232"/>
      <c r="K187" s="232"/>
      <c r="L187" s="232"/>
      <c r="M187" s="232"/>
      <c r="N187" s="184"/>
    </row>
    <row r="188" spans="4:32" ht="20.100000000000001" customHeight="1" x14ac:dyDescent="0.2">
      <c r="D188" s="183"/>
      <c r="E188" s="203" t="str">
        <f>Translation!B157</f>
        <v>6.2 vertical Lifting shear (Fup)</v>
      </c>
      <c r="F188" s="197"/>
      <c r="N188" s="184"/>
    </row>
    <row r="189" spans="4:32" ht="9.9499999999999993" customHeight="1" x14ac:dyDescent="0.2">
      <c r="D189" s="183"/>
      <c r="E189" s="203"/>
      <c r="F189" s="197"/>
      <c r="N189" s="184"/>
    </row>
    <row r="190" spans="4:32" ht="20.100000000000001" customHeight="1" x14ac:dyDescent="0.2">
      <c r="D190" s="183"/>
      <c r="E190" s="99" t="str">
        <f>Translation!B158</f>
        <v>Characteristic resistance to bearing stress</v>
      </c>
      <c r="F190" s="99" t="s">
        <v>420</v>
      </c>
      <c r="G190" s="99" t="s">
        <v>415</v>
      </c>
      <c r="H190" s="204">
        <f>IF(H141="NO","-",Uplift!AO6)</f>
        <v>19.479759046070704</v>
      </c>
      <c r="N190" s="184"/>
    </row>
    <row r="191" spans="4:32" ht="20.100000000000001" customHeight="1" x14ac:dyDescent="0.2">
      <c r="D191" s="183"/>
      <c r="E191" s="99" t="str">
        <f>Translation!B159</f>
        <v>Characteristic axial capacity of an inclined screw</v>
      </c>
      <c r="F191" s="99" t="s">
        <v>421</v>
      </c>
      <c r="G191" s="99" t="s">
        <v>416</v>
      </c>
      <c r="H191" s="262">
        <f>IF(H141="NO","-",Uplift!AU6)</f>
        <v>3030.4788095992858</v>
      </c>
      <c r="N191" s="184"/>
    </row>
    <row r="192" spans="4:32" ht="20.100000000000001" customHeight="1" x14ac:dyDescent="0.2">
      <c r="D192" s="183"/>
      <c r="E192" s="99" t="str">
        <f>Translation!B160</f>
        <v>Characteristic strength main element</v>
      </c>
      <c r="F192" s="99" t="s">
        <v>440</v>
      </c>
      <c r="G192" s="99" t="s">
        <v>258</v>
      </c>
      <c r="H192" s="204">
        <f>IF(H141="NO","-",Uplift!$BA$6/1000)</f>
        <v>7.2321933932205456</v>
      </c>
      <c r="I192" s="204"/>
      <c r="N192" s="184"/>
    </row>
    <row r="193" spans="4:14" ht="9.9499999999999993" customHeight="1" x14ac:dyDescent="0.2">
      <c r="D193" s="183"/>
      <c r="F193" s="197"/>
      <c r="G193" s="197"/>
      <c r="H193" s="204"/>
      <c r="I193" s="204"/>
      <c r="N193" s="184"/>
    </row>
    <row r="194" spans="4:14" ht="20.100000000000001" customHeight="1" x14ac:dyDescent="0.2">
      <c r="D194" s="183"/>
      <c r="E194" s="99" t="str">
        <f>Translation!B161</f>
        <v>Characteristic strength aluminium</v>
      </c>
      <c r="F194" s="99" t="s">
        <v>438</v>
      </c>
      <c r="G194" s="99" t="s">
        <v>258</v>
      </c>
      <c r="H194" s="204">
        <f>IF(H141="NO","-",IF(H99=2,(0.5*Uplift!$BB$6+0.5*secondo_Uplift!$BB$6)/1000,(0.5*Uplift!$BB$6)/1000))</f>
        <v>48</v>
      </c>
      <c r="I194" s="253"/>
      <c r="N194" s="184"/>
    </row>
    <row r="195" spans="4:14" ht="9.9499999999999993" customHeight="1" x14ac:dyDescent="0.2">
      <c r="D195" s="183"/>
      <c r="F195" s="197"/>
      <c r="G195" s="197"/>
      <c r="H195" s="204"/>
      <c r="I195" s="253"/>
      <c r="N195" s="184"/>
    </row>
    <row r="196" spans="4:14" ht="20.100000000000001" customHeight="1" x14ac:dyDescent="0.2">
      <c r="D196" s="183"/>
      <c r="E196" s="99" t="str">
        <f>Translation!B162</f>
        <v>Characteristic resistance to bearing stress</v>
      </c>
      <c r="F196" s="99" t="s">
        <v>417</v>
      </c>
      <c r="G196" s="99" t="s">
        <v>415</v>
      </c>
      <c r="H196" s="204">
        <f>IF(H141="NO","-",Uplift!R6)</f>
        <v>6.7693373198801936</v>
      </c>
      <c r="I196" s="253"/>
      <c r="N196" s="184"/>
    </row>
    <row r="197" spans="4:14" ht="20.100000000000001" customHeight="1" x14ac:dyDescent="0.2">
      <c r="D197" s="183"/>
      <c r="E197" s="99" t="str">
        <f>Translation!B163</f>
        <v>Characteristic axial capacity of an inclined screw</v>
      </c>
      <c r="F197" s="99" t="s">
        <v>418</v>
      </c>
      <c r="G197" s="99" t="s">
        <v>416</v>
      </c>
      <c r="H197" s="262">
        <f>IF(H141="NO","-",Uplift!Y6)</f>
        <v>6164.8617526610669</v>
      </c>
      <c r="I197" s="253"/>
      <c r="N197" s="184"/>
    </row>
    <row r="198" spans="4:14" ht="30" customHeight="1" x14ac:dyDescent="0.2">
      <c r="D198" s="183"/>
      <c r="E198" s="261" t="str">
        <f>Translation!B164</f>
        <v>Load characteristic capacity for shear plane for fastening secondary element</v>
      </c>
      <c r="F198" s="99" t="s">
        <v>419</v>
      </c>
      <c r="G198" s="99" t="s">
        <v>416</v>
      </c>
      <c r="H198" s="262">
        <f>IF(H141="NO","-",Uplift!AB6)</f>
        <v>2617.1958117017621</v>
      </c>
      <c r="I198" s="253"/>
      <c r="N198" s="184"/>
    </row>
    <row r="199" spans="4:14" ht="20.100000000000001" customHeight="1" x14ac:dyDescent="0.2">
      <c r="D199" s="183"/>
      <c r="E199" s="99" t="str">
        <f>Translation!B165</f>
        <v>Characteristic strength secondary element</v>
      </c>
      <c r="F199" s="99" t="s">
        <v>441</v>
      </c>
      <c r="G199" s="99" t="s">
        <v>258</v>
      </c>
      <c r="H199" s="204">
        <f>IF(H141="NO","-",IF(H99=2,(Uplift!$AC$6+secondo_Uplift!$AC$6)/1000,Uplift!$AC$6/1000))</f>
        <v>94.219049221263447</v>
      </c>
      <c r="I199" s="204"/>
      <c r="N199" s="184"/>
    </row>
    <row r="200" spans="4:14" ht="9.9499999999999993" customHeight="1" x14ac:dyDescent="0.2">
      <c r="D200" s="183"/>
      <c r="E200" s="100"/>
      <c r="F200" s="205"/>
      <c r="H200" s="207"/>
      <c r="I200" s="244"/>
      <c r="N200" s="184"/>
    </row>
    <row r="201" spans="4:14" ht="20.100000000000001" customHeight="1" x14ac:dyDescent="0.2">
      <c r="D201" s="183"/>
      <c r="E201" s="99" t="str">
        <f>Translation!B166</f>
        <v>Characteristic strenght</v>
      </c>
      <c r="F201" s="197" t="s">
        <v>268</v>
      </c>
      <c r="G201" s="197" t="s">
        <v>258</v>
      </c>
      <c r="H201" s="207">
        <f>IF(H141="NO","-",Uplift!$BC$6)</f>
        <v>7.2321933932205456</v>
      </c>
      <c r="I201" s="207"/>
      <c r="N201" s="184"/>
    </row>
    <row r="202" spans="4:14" ht="20.100000000000001" customHeight="1" x14ac:dyDescent="0.2">
      <c r="D202" s="183"/>
      <c r="E202" s="99" t="str">
        <f>Translation!B167</f>
        <v>Design strength</v>
      </c>
      <c r="F202" s="197" t="s">
        <v>269</v>
      </c>
      <c r="G202" s="197" t="s">
        <v>258</v>
      </c>
      <c r="H202" s="207">
        <f>IF(H141="NO","-",MIN(($H$47*MIN(H192,H199))/$H$50,H194/H51))</f>
        <v>4.4505805496741822</v>
      </c>
      <c r="I202" s="207"/>
      <c r="N202" s="184"/>
    </row>
    <row r="203" spans="4:14" ht="20.100000000000001" customHeight="1" x14ac:dyDescent="0.2">
      <c r="D203" s="183"/>
      <c r="E203" s="99" t="str">
        <f>Translation!B34</f>
        <v>Shear action for lifting</v>
      </c>
      <c r="F203" s="99" t="s">
        <v>1326</v>
      </c>
      <c r="G203" s="99" t="s">
        <v>258</v>
      </c>
      <c r="H203" s="204">
        <f>H57</f>
        <v>1</v>
      </c>
      <c r="I203" s="207"/>
      <c r="N203" s="184"/>
    </row>
    <row r="204" spans="4:14" ht="30" customHeight="1" x14ac:dyDescent="0.2">
      <c r="D204" s="183"/>
      <c r="E204" s="99" t="str">
        <f>Translation!B168</f>
        <v>Verification of connection</v>
      </c>
      <c r="F204" s="392" t="str">
        <f>IF(H141="NO","-",IF(H204&gt;1,Translation!B209,Translation!B208))</f>
        <v>VERIFIED</v>
      </c>
      <c r="G204" s="392"/>
      <c r="H204" s="260">
        <f>IF(H141="NO","-",$H$57/H202)</f>
        <v>0.22468978795883335</v>
      </c>
      <c r="I204" s="185"/>
      <c r="N204" s="184"/>
    </row>
    <row r="205" spans="4:14" ht="9.9499999999999993" customHeight="1" x14ac:dyDescent="0.2">
      <c r="D205" s="183"/>
      <c r="F205" s="197"/>
      <c r="N205" s="184"/>
    </row>
    <row r="206" spans="4:14" ht="9.9499999999999993" customHeight="1" x14ac:dyDescent="0.2">
      <c r="D206" s="183"/>
      <c r="E206" s="232"/>
      <c r="F206" s="233"/>
      <c r="G206" s="232"/>
      <c r="H206" s="234"/>
      <c r="I206" s="234"/>
      <c r="J206" s="232"/>
      <c r="K206" s="232"/>
      <c r="L206" s="232"/>
      <c r="M206" s="232"/>
      <c r="N206" s="184"/>
    </row>
    <row r="207" spans="4:14" ht="20.100000000000001" customHeight="1" x14ac:dyDescent="0.2">
      <c r="D207" s="183"/>
      <c r="E207" s="203" t="str">
        <f>Translation!B169</f>
        <v>6.3 Axial (Fax)</v>
      </c>
      <c r="F207" s="197"/>
      <c r="N207" s="184"/>
    </row>
    <row r="208" spans="4:14" ht="9.9499999999999993" customHeight="1" x14ac:dyDescent="0.2">
      <c r="D208" s="183"/>
      <c r="F208" s="197"/>
      <c r="N208" s="184"/>
    </row>
    <row r="209" spans="4:14" ht="20.100000000000001" customHeight="1" x14ac:dyDescent="0.2">
      <c r="D209" s="183"/>
      <c r="E209" s="99" t="str">
        <f>Translation!B170</f>
        <v>Characteristic strength main element</v>
      </c>
      <c r="F209" s="99" t="s">
        <v>442</v>
      </c>
      <c r="G209" s="99" t="s">
        <v>258</v>
      </c>
      <c r="H209" s="204">
        <f>IF(H99=2,(Axial!$AX$6+secondo_Axial!$AX$6)/1000,Axial!$AX$6/1000)</f>
        <v>46.283676364789081</v>
      </c>
      <c r="I209" s="204"/>
      <c r="N209" s="184"/>
    </row>
    <row r="210" spans="4:14" ht="20.100000000000001" customHeight="1" x14ac:dyDescent="0.2">
      <c r="D210" s="183"/>
      <c r="E210" s="99" t="str">
        <f>Translation!B171</f>
        <v>Characteristic strength aluminium</v>
      </c>
      <c r="F210" s="99" t="s">
        <v>443</v>
      </c>
      <c r="G210" s="99" t="s">
        <v>258</v>
      </c>
      <c r="H210" s="204">
        <f>IF(H99=2,(Axial!$AZ$6+secondo_Axial!$AZ$6)/1000,Axial!$AZ$6/1000)</f>
        <v>11.2</v>
      </c>
      <c r="I210" s="253"/>
      <c r="N210" s="184"/>
    </row>
    <row r="211" spans="4:14" ht="20.100000000000001" customHeight="1" x14ac:dyDescent="0.2">
      <c r="D211" s="183"/>
      <c r="E211" s="99" t="str">
        <f>Translation!B172</f>
        <v>Characteristic strength secondary element</v>
      </c>
      <c r="F211" s="99" t="s">
        <v>444</v>
      </c>
      <c r="G211" s="99" t="s">
        <v>258</v>
      </c>
      <c r="H211" s="204">
        <f>IF(H99=2,(Axial!$AY$6+secondo_Axial!$AY$6)/1000,Axial!$AY$6/1000)</f>
        <v>13.450607460351417</v>
      </c>
      <c r="I211" s="204"/>
      <c r="N211" s="184"/>
    </row>
    <row r="212" spans="4:14" ht="9.9499999999999993" customHeight="1" x14ac:dyDescent="0.2">
      <c r="D212" s="183"/>
      <c r="E212" s="100"/>
      <c r="F212" s="205"/>
      <c r="H212" s="207"/>
      <c r="I212" s="207"/>
      <c r="N212" s="184"/>
    </row>
    <row r="213" spans="4:14" ht="20.100000000000001" customHeight="1" x14ac:dyDescent="0.2">
      <c r="D213" s="183"/>
      <c r="E213" s="99" t="str">
        <f>Translation!B173</f>
        <v>Characteristic strenght</v>
      </c>
      <c r="F213" s="197" t="s">
        <v>270</v>
      </c>
      <c r="G213" s="197" t="s">
        <v>258</v>
      </c>
      <c r="H213" s="207">
        <f>IF(H99=2,Axial!$BA$6+secondo_Axial!$BA$6,Axial!$BA$6)</f>
        <v>11.2</v>
      </c>
      <c r="I213" s="207"/>
      <c r="N213" s="184"/>
    </row>
    <row r="214" spans="4:14" ht="20.100000000000001" customHeight="1" x14ac:dyDescent="0.2">
      <c r="D214" s="183"/>
      <c r="E214" s="99" t="str">
        <f>Translation!B174</f>
        <v>Design strength</v>
      </c>
      <c r="F214" s="197" t="s">
        <v>271</v>
      </c>
      <c r="G214" s="197" t="s">
        <v>258</v>
      </c>
      <c r="H214" s="207">
        <f>MIN(($H$47*MIN(H209,H211))/$H$50,H210/H51)</f>
        <v>8.2772968986777951</v>
      </c>
      <c r="I214" s="207"/>
      <c r="N214" s="184"/>
    </row>
    <row r="215" spans="4:14" ht="20.100000000000001" customHeight="1" x14ac:dyDescent="0.2">
      <c r="D215" s="183"/>
      <c r="E215" s="99" t="str">
        <f>Translation!B35</f>
        <v>Axial action</v>
      </c>
      <c r="F215" s="99" t="s">
        <v>1327</v>
      </c>
      <c r="G215" s="99" t="s">
        <v>258</v>
      </c>
      <c r="H215" s="204">
        <f>H58</f>
        <v>2</v>
      </c>
      <c r="I215" s="207"/>
      <c r="N215" s="184"/>
    </row>
    <row r="216" spans="4:14" ht="30" customHeight="1" x14ac:dyDescent="0.2">
      <c r="D216" s="183"/>
      <c r="E216" s="99" t="str">
        <f>Translation!B175</f>
        <v>Verification of connection</v>
      </c>
      <c r="F216" s="392" t="str">
        <f>IF(H216&gt;1,Translation!B209,Translation!B208)</f>
        <v>VERIFIED</v>
      </c>
      <c r="G216" s="392"/>
      <c r="H216" s="260">
        <f>$H$58/H214</f>
        <v>0.24162477490924331</v>
      </c>
      <c r="I216" s="185"/>
      <c r="N216" s="184"/>
    </row>
    <row r="217" spans="4:14" ht="9.9499999999999993" customHeight="1" x14ac:dyDescent="0.2">
      <c r="D217" s="183"/>
      <c r="F217" s="197"/>
      <c r="N217" s="184"/>
    </row>
    <row r="218" spans="4:14" ht="9.9499999999999993" customHeight="1" x14ac:dyDescent="0.2">
      <c r="D218" s="183"/>
      <c r="E218" s="232"/>
      <c r="F218" s="233"/>
      <c r="G218" s="232"/>
      <c r="H218" s="234"/>
      <c r="I218" s="234"/>
      <c r="J218" s="232"/>
      <c r="K218" s="232"/>
      <c r="L218" s="232"/>
      <c r="M218" s="232"/>
      <c r="N218" s="184"/>
    </row>
    <row r="219" spans="4:14" ht="20.100000000000001" customHeight="1" x14ac:dyDescent="0.2">
      <c r="D219" s="183"/>
      <c r="E219" s="203" t="str">
        <f>Translation!B176</f>
        <v>6.4 lateral shear load (Flat)</v>
      </c>
      <c r="F219" s="197"/>
      <c r="N219" s="184"/>
    </row>
    <row r="220" spans="4:14" ht="9.9499999999999993" customHeight="1" x14ac:dyDescent="0.2">
      <c r="D220" s="183"/>
      <c r="F220" s="197"/>
      <c r="N220" s="184"/>
    </row>
    <row r="221" spans="4:14" ht="20.100000000000001" customHeight="1" x14ac:dyDescent="0.2">
      <c r="D221" s="183"/>
      <c r="E221" s="261" t="str">
        <f>Translation!B177</f>
        <v>Effective number of screws for secondary or main element</v>
      </c>
      <c r="F221" s="99" t="s">
        <v>173</v>
      </c>
      <c r="G221" s="99" t="s">
        <v>262</v>
      </c>
      <c r="H221" s="204">
        <f>VLOOKUP(H65,Lateral!BM7:BP11,3,FALSE)</f>
        <v>20.9</v>
      </c>
      <c r="N221" s="184"/>
    </row>
    <row r="222" spans="4:14" ht="20.100000000000001" customHeight="1" x14ac:dyDescent="0.2">
      <c r="D222" s="183"/>
      <c r="E222" s="99" t="str">
        <f>Translation!B178</f>
        <v>Form factor</v>
      </c>
      <c r="F222" s="99" t="s">
        <v>174</v>
      </c>
      <c r="G222" s="99" t="s">
        <v>262</v>
      </c>
      <c r="H222" s="262">
        <f>VLOOKUP(H65,Lateral!BM7:BP11,4,FALSE)</f>
        <v>227</v>
      </c>
      <c r="N222" s="184"/>
    </row>
    <row r="223" spans="4:14" ht="20.100000000000001" customHeight="1" x14ac:dyDescent="0.2">
      <c r="D223" s="183"/>
      <c r="E223" s="99" t="str">
        <f>Translation!B179</f>
        <v>Coefficient in accordance with EN 1995-1-1, 6.1.5</v>
      </c>
      <c r="F223" s="99" t="s">
        <v>167</v>
      </c>
      <c r="G223" s="99" t="s">
        <v>262</v>
      </c>
      <c r="H223" s="262">
        <f>Lateral!AM32</f>
        <v>1</v>
      </c>
      <c r="N223" s="184"/>
    </row>
    <row r="224" spans="4:14" ht="20.100000000000001" customHeight="1" x14ac:dyDescent="0.2">
      <c r="D224" s="183"/>
      <c r="E224" s="99" t="str">
        <f>Translation!B180</f>
        <v>Coefficient in accordance with EN 1995-1-1, eq. 6.62</v>
      </c>
      <c r="F224" s="99" t="s">
        <v>186</v>
      </c>
      <c r="G224" s="99" t="s">
        <v>262</v>
      </c>
      <c r="H224" s="264">
        <f>Lateral!AX32</f>
        <v>0.72788065211624708</v>
      </c>
      <c r="N224" s="184"/>
    </row>
    <row r="225" spans="4:28" ht="9.9499999999999993" customHeight="1" x14ac:dyDescent="0.2">
      <c r="D225" s="183"/>
      <c r="F225" s="197"/>
      <c r="G225" s="197"/>
      <c r="N225" s="184"/>
    </row>
    <row r="226" spans="4:28" ht="20.100000000000001" customHeight="1" x14ac:dyDescent="0.2">
      <c r="D226" s="183"/>
      <c r="E226" s="99" t="str">
        <f>Translation!B181</f>
        <v>Characteristic strenght</v>
      </c>
      <c r="F226" s="197" t="s">
        <v>272</v>
      </c>
      <c r="G226" s="197" t="s">
        <v>258</v>
      </c>
      <c r="H226" s="207">
        <f>IF(H99=1,VLOOKUP($H$65,Lateral!$BD$6:$BG$11,4,FALSE),VLOOKUP($H$65,secondo_Lateral!$BD$6:$BG$11,4,FALSE))</f>
        <v>46.68</v>
      </c>
      <c r="I226" s="207"/>
      <c r="N226" s="184"/>
    </row>
    <row r="227" spans="4:28" ht="20.100000000000001" customHeight="1" x14ac:dyDescent="0.2">
      <c r="D227" s="183"/>
      <c r="E227" s="99" t="str">
        <f>Translation!B182</f>
        <v>Design strength</v>
      </c>
      <c r="F227" s="197" t="s">
        <v>273</v>
      </c>
      <c r="G227" s="197" t="s">
        <v>258</v>
      </c>
      <c r="H227" s="207">
        <f>IF(H99=1,VLOOKUP($H$65,Lateral!$BD$6:$BH$11,5,FALSE),VLOOKUP($H$65,secondo_Lateral!$BD$6:$BH$11,5,FALSE))</f>
        <v>28.726153846153846</v>
      </c>
      <c r="I227" s="244"/>
      <c r="N227" s="184"/>
    </row>
    <row r="228" spans="4:28" ht="20.100000000000001" customHeight="1" x14ac:dyDescent="0.2">
      <c r="D228" s="183"/>
      <c r="E228" s="99" t="str">
        <f>Translation!B36</f>
        <v>Lateral action</v>
      </c>
      <c r="F228" s="99" t="s">
        <v>1328</v>
      </c>
      <c r="G228" s="99" t="s">
        <v>258</v>
      </c>
      <c r="H228" s="204">
        <f>H59</f>
        <v>1</v>
      </c>
      <c r="I228" s="244"/>
      <c r="N228" s="184"/>
    </row>
    <row r="229" spans="4:28" ht="30" customHeight="1" x14ac:dyDescent="0.2">
      <c r="D229" s="183"/>
      <c r="E229" s="99" t="str">
        <f>Translation!B183</f>
        <v>Verification of connection</v>
      </c>
      <c r="F229" s="392" t="str">
        <f>IF(H229&gt;1,Translation!B209,Translation!B208)</f>
        <v>VERIFIED</v>
      </c>
      <c r="G229" s="392"/>
      <c r="H229" s="260">
        <f>$H$59/H227</f>
        <v>3.4811482433590404E-2</v>
      </c>
      <c r="I229" s="185"/>
      <c r="N229" s="184"/>
    </row>
    <row r="230" spans="4:28" ht="9.9499999999999993" customHeight="1" x14ac:dyDescent="0.2">
      <c r="D230" s="183"/>
      <c r="H230" s="99"/>
      <c r="I230" s="99"/>
      <c r="N230" s="184"/>
    </row>
    <row r="231" spans="4:28" ht="9.9499999999999993" customHeight="1" x14ac:dyDescent="0.2">
      <c r="D231" s="183"/>
      <c r="N231" s="184"/>
    </row>
    <row r="232" spans="4:28" ht="9.9499999999999993" customHeight="1" x14ac:dyDescent="0.2">
      <c r="D232" s="183"/>
      <c r="N232" s="184"/>
    </row>
    <row r="233" spans="4:28" ht="30" customHeight="1" x14ac:dyDescent="0.2">
      <c r="D233" s="186"/>
      <c r="E233" s="221" t="str">
        <f>Translation!B184</f>
        <v>7. Design checks in the case of combined loading</v>
      </c>
      <c r="F233" s="221"/>
      <c r="G233" s="221"/>
      <c r="H233" s="221"/>
      <c r="I233" s="221"/>
      <c r="J233" s="221"/>
      <c r="K233" s="221"/>
      <c r="L233" s="221"/>
      <c r="M233" s="221"/>
      <c r="N233" s="184"/>
      <c r="W233" s="266" t="str">
        <f>IF(H235=AB165,"NON",CONCATENATE(IF(H237=AC165,"A",),IF(H238=AC165,"B",),IF(H239=AC165,"C",),IF(H240=AC165,"D",)))</f>
        <v>AC</v>
      </c>
    </row>
    <row r="234" spans="4:28" ht="9.9499999999999993" customHeight="1" x14ac:dyDescent="0.2">
      <c r="D234" s="183"/>
      <c r="N234" s="184"/>
    </row>
    <row r="235" spans="4:28" ht="20.100000000000001" customHeight="1" x14ac:dyDescent="0.2">
      <c r="D235" s="183"/>
      <c r="E235" s="99" t="str">
        <f>Translation!B185</f>
        <v>Combined loading check required?</v>
      </c>
      <c r="H235" s="297" t="s">
        <v>532</v>
      </c>
      <c r="I235" s="393" t="str">
        <f>IF(H235=AC165,Translation!B191," ")</f>
        <v>Select the stresses to be considered in the combined check.</v>
      </c>
      <c r="J235" s="394"/>
      <c r="K235" s="394"/>
      <c r="L235" s="394"/>
      <c r="M235" s="394"/>
      <c r="N235" s="184"/>
    </row>
    <row r="236" spans="4:28" ht="9.9499999999999993" customHeight="1" x14ac:dyDescent="0.2">
      <c r="D236" s="183"/>
      <c r="N236" s="184"/>
    </row>
    <row r="237" spans="4:28" ht="20.100000000000001" customHeight="1" x14ac:dyDescent="0.2">
      <c r="D237" s="183"/>
      <c r="E237" s="299" t="str">
        <f>Translation!B186</f>
        <v>Vertical shear</v>
      </c>
      <c r="F237" s="299" t="s">
        <v>450</v>
      </c>
      <c r="H237" s="297" t="s">
        <v>532</v>
      </c>
      <c r="N237" s="184"/>
      <c r="Z237" s="99" t="str">
        <f>H237</f>
        <v>Yes</v>
      </c>
      <c r="AA237" s="99" t="s">
        <v>450</v>
      </c>
      <c r="AB237" s="270">
        <f>H185</f>
        <v>6.8988172282819782E-2</v>
      </c>
    </row>
    <row r="238" spans="4:28" ht="20.100000000000001" customHeight="1" x14ac:dyDescent="0.2">
      <c r="D238" s="183"/>
      <c r="E238" s="299" t="str">
        <f>Translation!B187</f>
        <v>vertical Lifting shear</v>
      </c>
      <c r="F238" s="299" t="s">
        <v>451</v>
      </c>
      <c r="H238" s="297" t="s">
        <v>537</v>
      </c>
      <c r="N238" s="184"/>
      <c r="Z238" s="99" t="str">
        <f>H238</f>
        <v>No</v>
      </c>
      <c r="AA238" s="99" t="s">
        <v>451</v>
      </c>
      <c r="AB238" s="270">
        <f>H204</f>
        <v>0.22468978795883335</v>
      </c>
    </row>
    <row r="239" spans="4:28" ht="20.100000000000001" customHeight="1" x14ac:dyDescent="0.2">
      <c r="D239" s="183"/>
      <c r="E239" s="299" t="str">
        <f>Translation!B188</f>
        <v>Axial action</v>
      </c>
      <c r="F239" s="299" t="s">
        <v>452</v>
      </c>
      <c r="H239" s="297" t="s">
        <v>532</v>
      </c>
      <c r="N239" s="184"/>
      <c r="T239" s="99" t="s">
        <v>462</v>
      </c>
      <c r="U239" s="265">
        <f>H185^2</f>
        <v>4.7593679149240233E-3</v>
      </c>
      <c r="W239" s="99" t="s">
        <v>459</v>
      </c>
      <c r="X239" s="265">
        <f>U239+U241</f>
        <v>6.3141899764866519E-2</v>
      </c>
      <c r="Z239" s="99" t="str">
        <f>H239</f>
        <v>Yes</v>
      </c>
      <c r="AA239" s="99" t="s">
        <v>452</v>
      </c>
      <c r="AB239" s="270">
        <f>H216</f>
        <v>0.24162477490924331</v>
      </c>
    </row>
    <row r="240" spans="4:28" ht="20.100000000000001" customHeight="1" x14ac:dyDescent="0.2">
      <c r="D240" s="183"/>
      <c r="E240" s="299" t="str">
        <f>Translation!B189</f>
        <v>Lateral shear</v>
      </c>
      <c r="F240" s="299" t="s">
        <v>453</v>
      </c>
      <c r="H240" s="297" t="s">
        <v>537</v>
      </c>
      <c r="N240" s="184"/>
      <c r="T240" s="99" t="s">
        <v>131</v>
      </c>
      <c r="U240" s="265">
        <f>H204^2</f>
        <v>5.0485500812985494E-2</v>
      </c>
      <c r="W240" s="99" t="s">
        <v>460</v>
      </c>
      <c r="X240" s="265">
        <f>U239+U241+U242</f>
        <v>6.4353739074090699E-2</v>
      </c>
      <c r="Z240" s="99" t="str">
        <f>H240</f>
        <v>No</v>
      </c>
      <c r="AA240" s="99" t="s">
        <v>453</v>
      </c>
      <c r="AB240" s="270">
        <f>H229</f>
        <v>3.4811482433590404E-2</v>
      </c>
    </row>
    <row r="241" spans="4:28" ht="9.9499999999999993" customHeight="1" x14ac:dyDescent="0.2">
      <c r="D241" s="183"/>
      <c r="N241" s="184"/>
      <c r="T241" s="99" t="s">
        <v>463</v>
      </c>
      <c r="U241" s="265">
        <f>H216^2</f>
        <v>5.8382531849942493E-2</v>
      </c>
      <c r="W241" s="99" t="s">
        <v>458</v>
      </c>
      <c r="X241" s="265">
        <f>U239+U242</f>
        <v>5.9712072241481966E-3</v>
      </c>
      <c r="Z241" s="99" t="str">
        <f>IF(Z237=AB165,IF(Z238=AB165,IF(Z239=AB165,IF(Z240=AB165,AC165,AB165),AB165),AB165),AB165)</f>
        <v>No</v>
      </c>
      <c r="AB241" s="270">
        <v>0</v>
      </c>
    </row>
    <row r="242" spans="4:28" ht="50.1" customHeight="1" x14ac:dyDescent="0.2">
      <c r="D242" s="183"/>
      <c r="E242" s="282" t="str">
        <f>Translation!B190</f>
        <v>Fv,d and Fup,d  are forces acting in opposite directions. Therefore only one of the forces Fv,d and Fup,d can act in combination with the forces Fax,d or Flat,d.</v>
      </c>
      <c r="F242" s="392" t="str">
        <f>IF(H242&gt;1,Translation!B209,Translation!B208)</f>
        <v>VERIFIED</v>
      </c>
      <c r="G242" s="392"/>
      <c r="H242" s="260">
        <f>_xlfn.IFNA(VLOOKUP(W233,W239:X245,2,FALSE),VLOOKUP(AC165,Z237:AB241,3,FALSE))</f>
        <v>6.3141899764866519E-2</v>
      </c>
      <c r="N242" s="184"/>
      <c r="T242" s="99" t="s">
        <v>464</v>
      </c>
      <c r="U242" s="265">
        <f>H229^2</f>
        <v>1.2118393092241733E-3</v>
      </c>
      <c r="W242" s="99" t="s">
        <v>457</v>
      </c>
      <c r="X242" s="265">
        <f>U240+U241</f>
        <v>0.10886803266292799</v>
      </c>
    </row>
    <row r="243" spans="4:28" ht="9.9499999999999993" customHeight="1" x14ac:dyDescent="0.2">
      <c r="D243" s="183"/>
      <c r="N243" s="184"/>
      <c r="W243" s="99" t="s">
        <v>456</v>
      </c>
      <c r="X243" s="265">
        <f>U240+U241+U242</f>
        <v>0.11007987197215216</v>
      </c>
    </row>
    <row r="244" spans="4:28" ht="30" customHeight="1" x14ac:dyDescent="0.2">
      <c r="D244" s="183"/>
      <c r="E244" s="221" t="str">
        <f>Translation!B192</f>
        <v>8. Quantity and product codes summary</v>
      </c>
      <c r="F244" s="221"/>
      <c r="G244" s="221"/>
      <c r="H244" s="221"/>
      <c r="I244" s="221"/>
      <c r="J244" s="221"/>
      <c r="K244" s="221"/>
      <c r="L244" s="221"/>
      <c r="M244" s="221"/>
      <c r="N244" s="184"/>
      <c r="W244" s="99" t="s">
        <v>455</v>
      </c>
      <c r="X244" s="265">
        <f>U240+U242</f>
        <v>5.1697340122209667E-2</v>
      </c>
    </row>
    <row r="245" spans="4:28" ht="9.9499999999999993" customHeight="1" x14ac:dyDescent="0.2">
      <c r="D245" s="183"/>
      <c r="N245" s="184"/>
      <c r="W245" s="99" t="s">
        <v>454</v>
      </c>
      <c r="X245" s="265">
        <f>U241+U242</f>
        <v>5.9594371159166666E-2</v>
      </c>
    </row>
    <row r="246" spans="4:28" ht="20.100000000000001" customHeight="1" x14ac:dyDescent="0.2">
      <c r="D246" s="183"/>
      <c r="E246" s="299" t="str">
        <f>Translation!B193</f>
        <v>Number of connections</v>
      </c>
      <c r="F246" s="299" t="s">
        <v>506</v>
      </c>
      <c r="H246" s="297">
        <v>3</v>
      </c>
      <c r="N246" s="184"/>
    </row>
    <row r="247" spans="4:28" ht="9.9499999999999993" customHeight="1" thickBot="1" x14ac:dyDescent="0.25">
      <c r="D247" s="183"/>
      <c r="H247" s="345"/>
      <c r="N247" s="184"/>
    </row>
    <row r="248" spans="4:28" ht="60" customHeight="1" x14ac:dyDescent="0.2">
      <c r="D248" s="183"/>
      <c r="E248" s="343"/>
      <c r="F248" s="341"/>
      <c r="G248" s="341"/>
      <c r="H248" s="344" t="str">
        <f>Translation!B194</f>
        <v>Code</v>
      </c>
      <c r="I248" s="344" t="str">
        <f>Translation!B195</f>
        <v>Quantity required</v>
      </c>
      <c r="J248" s="384"/>
      <c r="K248" s="385"/>
      <c r="L248" s="341"/>
      <c r="M248" s="342"/>
      <c r="N248" s="184"/>
    </row>
    <row r="249" spans="4:28" ht="20.100000000000001" customHeight="1" x14ac:dyDescent="0.2">
      <c r="D249" s="183"/>
      <c r="E249" s="388" t="str">
        <f>Translation!B197</f>
        <v>Coupling hidden fastener</v>
      </c>
      <c r="F249" s="389"/>
      <c r="G249" s="304"/>
      <c r="H249" s="309" t="str">
        <f>H101</f>
        <v>LOCKTEV100290</v>
      </c>
      <c r="I249" s="310">
        <f>H246</f>
        <v>3</v>
      </c>
      <c r="J249" s="386">
        <f>VLOOKUP(H97,Data!AA4:AV22,22,FALSE)</f>
        <v>10</v>
      </c>
      <c r="K249" s="387"/>
      <c r="L249" s="304"/>
      <c r="M249" s="305"/>
      <c r="N249" s="184"/>
    </row>
    <row r="250" spans="4:28" ht="20.100000000000001" customHeight="1" x14ac:dyDescent="0.2">
      <c r="D250" s="183"/>
      <c r="E250" s="375" t="str">
        <f>Translation!B198</f>
        <v>Second concealed connector, if coupling connectors</v>
      </c>
      <c r="F250" s="376"/>
      <c r="G250" s="306"/>
      <c r="H250" s="311" t="str">
        <f>IF(H99=2,I101,"-")</f>
        <v>-</v>
      </c>
      <c r="I250" s="312" t="str">
        <f>IF(H99=2,H246,"-")</f>
        <v>-</v>
      </c>
      <c r="J250" s="379" t="str">
        <f>IF(H99=2,VLOOKUP(I97,Data!AA4:AV22,22,FALSE),"-")</f>
        <v>-</v>
      </c>
      <c r="K250" s="380"/>
      <c r="L250" s="306"/>
      <c r="M250" s="307"/>
      <c r="N250" s="184"/>
    </row>
    <row r="251" spans="4:28" ht="9.9499999999999993" customHeight="1" x14ac:dyDescent="0.2">
      <c r="D251" s="183"/>
      <c r="E251" s="301"/>
      <c r="F251" s="197"/>
      <c r="H251" s="313"/>
      <c r="I251" s="314"/>
      <c r="J251" s="308"/>
      <c r="M251" s="300"/>
      <c r="N251" s="184"/>
    </row>
    <row r="252" spans="4:28" ht="20.100000000000001" customHeight="1" x14ac:dyDescent="0.2">
      <c r="D252" s="183"/>
      <c r="E252" s="375" t="str">
        <f>Translation!B199</f>
        <v>Fastening screws main element</v>
      </c>
      <c r="F252" s="376"/>
      <c r="G252" s="306"/>
      <c r="H252" s="311" t="str">
        <f>H113</f>
        <v>LBS780</v>
      </c>
      <c r="I252" s="312">
        <f>IF(H99=2,((H106+I106)/2)*H246,(H106/2)*H246)</f>
        <v>108</v>
      </c>
      <c r="J252" s="379">
        <f>VLOOKUP(H252,Screws!AS6:AT34,2,FALSE)</f>
        <v>100</v>
      </c>
      <c r="K252" s="380"/>
      <c r="L252" s="306"/>
      <c r="M252" s="307"/>
      <c r="N252" s="184"/>
      <c r="P252"/>
    </row>
    <row r="253" spans="4:28" ht="20.100000000000001" customHeight="1" x14ac:dyDescent="0.2">
      <c r="D253" s="183"/>
      <c r="E253" s="375" t="str">
        <f>Translation!B200</f>
        <v>Fastening screws secondary beam</v>
      </c>
      <c r="F253" s="376"/>
      <c r="G253" s="306"/>
      <c r="H253" s="311" t="str">
        <f>H126</f>
        <v>LBS780</v>
      </c>
      <c r="I253" s="312">
        <f>IF(H99=2,((H106+I106)/2)*H246,(H106/2)*H246)</f>
        <v>108</v>
      </c>
      <c r="J253" s="379">
        <f>VLOOKUP(H253,Screws!AS6:AT34,2,FALSE)</f>
        <v>100</v>
      </c>
      <c r="K253" s="380"/>
      <c r="L253" s="306"/>
      <c r="M253" s="307"/>
      <c r="N253" s="184"/>
      <c r="P253"/>
    </row>
    <row r="254" spans="4:28" ht="20.100000000000001" customHeight="1" x14ac:dyDescent="0.2">
      <c r="D254" s="183"/>
      <c r="E254" s="375" t="str">
        <f>Translation!B201</f>
        <v>Inclined screws for lifting and/or lateral resistance</v>
      </c>
      <c r="F254" s="376"/>
      <c r="G254" s="306"/>
      <c r="H254" s="311" t="str">
        <f>H144</f>
        <v>LBS560</v>
      </c>
      <c r="I254" s="312">
        <f>IF(H99=2,(H142+I142)*H246,H142*H246)</f>
        <v>9</v>
      </c>
      <c r="J254" s="379">
        <f>IF(H141="NO","-",VLOOKUP(H254,Screws!AS6:AT34,2,FALSE))</f>
        <v>200</v>
      </c>
      <c r="K254" s="380"/>
      <c r="L254" s="306"/>
      <c r="M254" s="307"/>
      <c r="N254" s="184"/>
    </row>
    <row r="255" spans="4:28" ht="9.9499999999999993" customHeight="1" x14ac:dyDescent="0.2">
      <c r="D255" s="183"/>
      <c r="E255" s="301"/>
      <c r="F255" s="197"/>
      <c r="H255" s="313"/>
      <c r="I255" s="313"/>
      <c r="J255" s="308"/>
      <c r="M255" s="300"/>
      <c r="N255" s="184"/>
    </row>
    <row r="256" spans="4:28" ht="20.100000000000001" customHeight="1" thickBot="1" x14ac:dyDescent="0.25">
      <c r="D256" s="183"/>
      <c r="E256" s="377" t="str">
        <f>Translation!B202</f>
        <v>LOCK STOP connector</v>
      </c>
      <c r="F256" s="378"/>
      <c r="G256" s="302"/>
      <c r="H256" s="315" t="str">
        <f>IF(H65="LOCK STOP",VLOOKUP(H138,Data!BA4:BB16,2,FALSE),"-")</f>
        <v>-</v>
      </c>
      <c r="I256" s="316" t="str">
        <f>IF(H65="LOCK STOP",VLOOKUP(H138,Data!BA4:BJ16,10,FALSE)*H246,"-")</f>
        <v>-</v>
      </c>
      <c r="J256" s="381" t="str">
        <f>IF(H65="LOCK STOP",VLOOKUP(H138,Data!BA4:BK16,11,FALSE),"-")</f>
        <v>-</v>
      </c>
      <c r="K256" s="382"/>
      <c r="L256" s="302"/>
      <c r="M256" s="303"/>
      <c r="N256" s="184"/>
    </row>
    <row r="257" spans="4:16" ht="18" hidden="1" customHeight="1" x14ac:dyDescent="0.2">
      <c r="D257" s="183"/>
      <c r="N257" s="184"/>
      <c r="P257"/>
    </row>
    <row r="258" spans="4:16" ht="18" customHeight="1" x14ac:dyDescent="0.2">
      <c r="D258" s="183"/>
      <c r="N258" s="184"/>
      <c r="P258"/>
    </row>
    <row r="259" spans="4:16" ht="18" customHeight="1" x14ac:dyDescent="0.2">
      <c r="D259" s="183"/>
      <c r="N259" s="184"/>
      <c r="P259"/>
    </row>
    <row r="260" spans="4:16" ht="18" customHeight="1" x14ac:dyDescent="0.2">
      <c r="D260" s="183"/>
      <c r="N260" s="184"/>
      <c r="P260"/>
    </row>
    <row r="261" spans="4:16" ht="18" customHeight="1" x14ac:dyDescent="0.2">
      <c r="D261" s="183"/>
      <c r="N261" s="184"/>
      <c r="P261"/>
    </row>
    <row r="262" spans="4:16" ht="18" customHeight="1" x14ac:dyDescent="0.2">
      <c r="D262" s="183"/>
      <c r="N262" s="184"/>
      <c r="P262"/>
    </row>
    <row r="263" spans="4:16" ht="18" customHeight="1" x14ac:dyDescent="0.2">
      <c r="D263" s="183"/>
      <c r="N263" s="184"/>
      <c r="P263"/>
    </row>
    <row r="264" spans="4:16" ht="18" customHeight="1" x14ac:dyDescent="0.2">
      <c r="D264" s="183"/>
      <c r="N264" s="184"/>
    </row>
    <row r="265" spans="4:16" ht="18" customHeight="1" x14ac:dyDescent="0.2">
      <c r="D265" s="183"/>
      <c r="N265" s="184"/>
    </row>
    <row r="266" spans="4:16" ht="18" customHeight="1" x14ac:dyDescent="0.2">
      <c r="D266" s="183"/>
      <c r="N266" s="184"/>
      <c r="P266"/>
    </row>
    <row r="267" spans="4:16" ht="18" customHeight="1" x14ac:dyDescent="0.2">
      <c r="D267" s="183"/>
      <c r="N267" s="184"/>
      <c r="P267"/>
    </row>
    <row r="268" spans="4:16" ht="18" customHeight="1" x14ac:dyDescent="0.2">
      <c r="D268" s="183"/>
      <c r="N268" s="184"/>
    </row>
    <row r="269" spans="4:16" ht="18" customHeight="1" x14ac:dyDescent="0.2">
      <c r="D269" s="183"/>
      <c r="N269" s="184"/>
    </row>
    <row r="270" spans="4:16" ht="18" customHeight="1" x14ac:dyDescent="0.2">
      <c r="D270" s="183"/>
      <c r="N270" s="184"/>
    </row>
    <row r="271" spans="4:16" ht="18" customHeight="1" x14ac:dyDescent="0.2">
      <c r="D271" s="183"/>
      <c r="N271" s="184"/>
    </row>
    <row r="272" spans="4:16" ht="18" customHeight="1" x14ac:dyDescent="0.2">
      <c r="D272" s="183"/>
      <c r="N272" s="184"/>
      <c r="P272"/>
    </row>
    <row r="273" spans="4:16" ht="18" customHeight="1" x14ac:dyDescent="0.2">
      <c r="D273" s="183"/>
      <c r="N273" s="184"/>
    </row>
    <row r="274" spans="4:16" ht="18" customHeight="1" x14ac:dyDescent="0.2">
      <c r="D274" s="183"/>
      <c r="N274" s="184"/>
    </row>
    <row r="275" spans="4:16" ht="18" customHeight="1" x14ac:dyDescent="0.2">
      <c r="D275" s="183"/>
      <c r="N275" s="184"/>
    </row>
    <row r="276" spans="4:16" ht="18" customHeight="1" x14ac:dyDescent="0.2">
      <c r="D276" s="183"/>
      <c r="N276" s="184"/>
    </row>
    <row r="277" spans="4:16" ht="18" customHeight="1" x14ac:dyDescent="0.2">
      <c r="D277" s="183"/>
      <c r="N277" s="184"/>
      <c r="P277"/>
    </row>
    <row r="278" spans="4:16" ht="18" customHeight="1" x14ac:dyDescent="0.2">
      <c r="D278" s="183"/>
      <c r="N278" s="184"/>
    </row>
    <row r="279" spans="4:16" ht="18" customHeight="1" x14ac:dyDescent="0.2">
      <c r="D279" s="183"/>
      <c r="N279" s="184"/>
    </row>
    <row r="280" spans="4:16" ht="80.099999999999994" customHeight="1" x14ac:dyDescent="0.2">
      <c r="D280" s="183"/>
      <c r="E280" s="383" t="str">
        <f>Translation!B203</f>
        <v>Rotho Blaas carried out the checks according to the Limit State method in accordance with EC 1995-1-1 Eurocode 5 - Design of timber structures. For the mechanical strength values and the geometry of the LOCK and LOCK STOP connector, reference was made to ETA-19/0831. For the mechanical resistance values and the geometry of the screws, reference was made to ETA-11/0030.
Static values were calculated assuming a constant thickness of the metal element, including the thickness of the LOCK STOP.
The Fup strength with inclined screw was calculated considering the effective number for axially loaded screws according to ETA-11/0030.
Special care must be taken in the execution of cutting the rebate in the main element or secondary beam to limit the lateral sliding of the connection.
The Flat strength with inclined screw was calculated considering the effective number of screws arranged parallel to the fibre according to EN 1995-1-1.
If coupled connectors are used, special care must be taken in alignment during installation to avoid different stresses in the two connectors.
The connector must always be fully fastened using all the holes.
Fastening with partial nailing is not allowed. Screws with the same length must be used for each connector half.
In the case of grooving in the main element or in the secondary beam, particular care must be taken when carrying out the grooving in order to limit the lateral sliding of the connection.
Dimensioning and verification of the timber elements must be carried out separately. 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v>
      </c>
      <c r="F280" s="383"/>
      <c r="G280" s="383"/>
      <c r="H280" s="383"/>
      <c r="I280" s="383"/>
      <c r="J280" s="383"/>
      <c r="K280" s="383"/>
      <c r="L280" s="383"/>
      <c r="M280" s="383"/>
      <c r="N280" s="184"/>
    </row>
    <row r="281" spans="4:16" ht="20.100000000000001" customHeight="1" x14ac:dyDescent="0.2">
      <c r="D281" s="183"/>
      <c r="E281" s="383"/>
      <c r="F281" s="383"/>
      <c r="G281" s="383"/>
      <c r="H281" s="383"/>
      <c r="I281" s="383"/>
      <c r="J281" s="383"/>
      <c r="K281" s="383"/>
      <c r="L281" s="383"/>
      <c r="M281" s="383"/>
      <c r="N281" s="184"/>
    </row>
    <row r="282" spans="4:16" ht="20.100000000000001" customHeight="1" x14ac:dyDescent="0.2">
      <c r="D282" s="183"/>
      <c r="E282" s="383"/>
      <c r="F282" s="383"/>
      <c r="G282" s="383"/>
      <c r="H282" s="383"/>
      <c r="I282" s="383"/>
      <c r="J282" s="383"/>
      <c r="K282" s="383"/>
      <c r="L282" s="383"/>
      <c r="M282" s="383"/>
      <c r="N282" s="184"/>
    </row>
    <row r="283" spans="4:16" ht="20.100000000000001" customHeight="1" x14ac:dyDescent="0.2">
      <c r="D283" s="183"/>
      <c r="E283" s="383"/>
      <c r="F283" s="383"/>
      <c r="G283" s="383"/>
      <c r="H283" s="383"/>
      <c r="I283" s="383"/>
      <c r="J283" s="383"/>
      <c r="K283" s="383"/>
      <c r="L283" s="383"/>
      <c r="M283" s="383"/>
      <c r="N283" s="184"/>
    </row>
    <row r="284" spans="4:16" ht="20.100000000000001" customHeight="1" x14ac:dyDescent="0.2">
      <c r="D284" s="183"/>
      <c r="E284" s="383"/>
      <c r="F284" s="383"/>
      <c r="G284" s="383"/>
      <c r="H284" s="383"/>
      <c r="I284" s="383"/>
      <c r="J284" s="383"/>
      <c r="K284" s="383"/>
      <c r="L284" s="383"/>
      <c r="M284" s="383"/>
      <c r="N284" s="184"/>
    </row>
    <row r="285" spans="4:16" ht="20.100000000000001" customHeight="1" x14ac:dyDescent="0.2">
      <c r="D285" s="183"/>
      <c r="E285" s="383"/>
      <c r="F285" s="383"/>
      <c r="G285" s="383"/>
      <c r="H285" s="383"/>
      <c r="I285" s="383"/>
      <c r="J285" s="383"/>
      <c r="K285" s="383"/>
      <c r="L285" s="383"/>
      <c r="M285" s="383"/>
      <c r="N285" s="184"/>
    </row>
    <row r="286" spans="4:16" ht="20.100000000000001" customHeight="1" x14ac:dyDescent="0.2">
      <c r="D286" s="183"/>
      <c r="E286" s="383"/>
      <c r="F286" s="383"/>
      <c r="G286" s="383"/>
      <c r="H286" s="383"/>
      <c r="I286" s="383"/>
      <c r="J286" s="383"/>
      <c r="K286" s="383"/>
      <c r="L286" s="383"/>
      <c r="M286" s="383"/>
      <c r="N286" s="184"/>
    </row>
    <row r="287" spans="4:16" ht="20.100000000000001" customHeight="1" x14ac:dyDescent="0.2">
      <c r="D287" s="183"/>
      <c r="E287" s="383"/>
      <c r="F287" s="383"/>
      <c r="G287" s="383"/>
      <c r="H287" s="383"/>
      <c r="I287" s="383"/>
      <c r="J287" s="383"/>
      <c r="K287" s="383"/>
      <c r="L287" s="383"/>
      <c r="M287" s="383"/>
      <c r="N287" s="184"/>
    </row>
    <row r="288" spans="4:16" ht="20.100000000000001" customHeight="1" x14ac:dyDescent="0.2">
      <c r="D288" s="183"/>
      <c r="E288" s="383"/>
      <c r="F288" s="383"/>
      <c r="G288" s="383"/>
      <c r="H288" s="383"/>
      <c r="I288" s="383"/>
      <c r="J288" s="383"/>
      <c r="K288" s="383"/>
      <c r="L288" s="383"/>
      <c r="M288" s="383"/>
      <c r="N288" s="184"/>
    </row>
    <row r="289" spans="4:14" ht="20.100000000000001" customHeight="1" x14ac:dyDescent="0.2">
      <c r="D289" s="183"/>
      <c r="E289" s="383"/>
      <c r="F289" s="383"/>
      <c r="G289" s="383"/>
      <c r="H289" s="383"/>
      <c r="I289" s="383"/>
      <c r="J289" s="383"/>
      <c r="K289" s="383"/>
      <c r="L289" s="383"/>
      <c r="M289" s="383"/>
      <c r="N289" s="184"/>
    </row>
    <row r="290" spans="4:14" ht="20.100000000000001" customHeight="1" x14ac:dyDescent="0.2">
      <c r="D290" s="183"/>
      <c r="E290" s="383"/>
      <c r="F290" s="383"/>
      <c r="G290" s="383"/>
      <c r="H290" s="383"/>
      <c r="I290" s="383"/>
      <c r="J290" s="383"/>
      <c r="K290" s="383"/>
      <c r="L290" s="383"/>
      <c r="M290" s="383"/>
      <c r="N290" s="184"/>
    </row>
    <row r="291" spans="4:14" ht="30.95" customHeight="1" x14ac:dyDescent="0.2">
      <c r="D291" s="183"/>
      <c r="E291" s="372" t="str">
        <f>Translation!B204</f>
        <v>This information on the verification sheet is intended to be an indication. Nevertheless, the responsibility for the connection project lies entirely with the designer.</v>
      </c>
      <c r="F291" s="372"/>
      <c r="G291" s="372"/>
      <c r="H291" s="372"/>
      <c r="I291" s="372"/>
      <c r="J291" s="372"/>
      <c r="K291" s="372"/>
      <c r="L291" s="372"/>
      <c r="M291" s="372"/>
      <c r="N291" s="184"/>
    </row>
    <row r="292" spans="4:14" ht="20.100000000000001" customHeight="1" x14ac:dyDescent="0.2">
      <c r="D292" s="183"/>
      <c r="E292" s="373" t="str">
        <f>Translation!B205</f>
        <v>The design of the wooden elements is to be carried out separately by the structural designer.</v>
      </c>
      <c r="F292" s="373"/>
      <c r="G292" s="373"/>
      <c r="H292" s="373"/>
      <c r="I292" s="373"/>
      <c r="J292" s="373"/>
      <c r="K292" s="373"/>
      <c r="L292" s="373"/>
      <c r="M292" s="373"/>
      <c r="N292" s="184"/>
    </row>
    <row r="293" spans="4:14" s="319" customFormat="1" ht="125.1" customHeight="1" x14ac:dyDescent="0.2">
      <c r="D293" s="317"/>
      <c r="E293" s="374" t="str">
        <f>Translation!B206</f>
        <v>As specified in the General Terms and conditions accepted by the user when downloading the spreadsheet:the results obtained with this calculation tool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v>
      </c>
      <c r="F293" s="374"/>
      <c r="G293" s="374"/>
      <c r="H293" s="374"/>
      <c r="I293" s="374"/>
      <c r="J293" s="374"/>
      <c r="K293" s="374"/>
      <c r="L293" s="374"/>
      <c r="M293" s="374"/>
      <c r="N293" s="318"/>
    </row>
    <row r="294" spans="4:14" ht="20.100000000000001" customHeight="1" x14ac:dyDescent="0.2">
      <c r="D294" s="190"/>
      <c r="E294" s="192"/>
      <c r="F294" s="192"/>
      <c r="G294" s="192"/>
      <c r="H294" s="192"/>
      <c r="I294" s="192"/>
      <c r="J294" s="192"/>
      <c r="K294" s="192"/>
      <c r="L294" s="192"/>
      <c r="M294" s="192"/>
      <c r="N294" s="211"/>
    </row>
    <row r="295" spans="4:14" ht="20.100000000000001" customHeight="1" x14ac:dyDescent="0.2">
      <c r="D295" s="190"/>
      <c r="E295" s="192"/>
      <c r="F295" s="192"/>
      <c r="G295" s="192"/>
      <c r="H295" s="192"/>
      <c r="I295" s="192"/>
      <c r="J295" s="192"/>
      <c r="K295" s="192"/>
      <c r="L295" s="192"/>
      <c r="M295" s="192"/>
      <c r="N295" s="211"/>
    </row>
    <row r="296" spans="4:14" ht="20.100000000000001" customHeight="1" thickBot="1" x14ac:dyDescent="0.25">
      <c r="D296" s="208"/>
      <c r="E296" s="209"/>
      <c r="F296" s="209"/>
      <c r="G296" s="209"/>
      <c r="H296" s="209"/>
      <c r="I296" s="209"/>
      <c r="J296" s="209"/>
      <c r="K296" s="209"/>
      <c r="L296" s="209"/>
      <c r="M296" s="209"/>
      <c r="N296" s="212"/>
    </row>
    <row r="297" spans="4:14" ht="20.100000000000001" customHeight="1" x14ac:dyDescent="0.2">
      <c r="D297" s="190"/>
      <c r="E297" s="192"/>
      <c r="F297" s="192"/>
      <c r="G297" s="192"/>
      <c r="H297" s="192"/>
      <c r="I297" s="192"/>
      <c r="J297" s="192"/>
      <c r="K297" s="192"/>
      <c r="L297" s="192"/>
      <c r="M297" s="192"/>
      <c r="N297" s="211"/>
    </row>
    <row r="298" spans="4:14" ht="20.100000000000001" customHeight="1" x14ac:dyDescent="0.2">
      <c r="D298" s="190"/>
      <c r="E298" s="192"/>
      <c r="F298" s="192"/>
      <c r="G298" s="192"/>
      <c r="H298" s="192"/>
      <c r="I298" s="192"/>
      <c r="J298" s="192"/>
      <c r="K298" s="192"/>
      <c r="L298" s="192"/>
      <c r="M298" s="192"/>
      <c r="N298" s="211"/>
    </row>
    <row r="299" spans="4:14" ht="20.100000000000001" customHeight="1" thickBot="1" x14ac:dyDescent="0.25">
      <c r="D299" s="208"/>
      <c r="E299" s="209"/>
      <c r="F299" s="209"/>
      <c r="G299" s="209"/>
      <c r="H299" s="209"/>
      <c r="I299" s="209"/>
      <c r="J299" s="209"/>
      <c r="K299" s="209"/>
      <c r="L299" s="209"/>
      <c r="M299" s="209"/>
      <c r="N299" s="212"/>
    </row>
    <row r="300" spans="4:14" ht="20.100000000000001" customHeight="1" thickBot="1" x14ac:dyDescent="0.25">
      <c r="D300" s="208"/>
      <c r="E300" s="209"/>
      <c r="F300" s="209"/>
      <c r="G300" s="209"/>
      <c r="H300" s="209"/>
      <c r="I300" s="209"/>
      <c r="J300" s="209"/>
      <c r="K300" s="209"/>
      <c r="L300" s="209"/>
      <c r="M300" s="209"/>
      <c r="N300" s="212"/>
    </row>
  </sheetData>
  <sheetProtection algorithmName="SHA-512" hashValue="HYmKvkt4dDcsp4R0e9zQXGyv4PyqmyAu+cEhVnQX5yej+mIDURuyVfclsejNfA3ZODE2sjrhhU2beprUA6kgvg==" saltValue="j4q/B7kpSs4eaASskqB2YA==" spinCount="100000" sheet="1" objects="1" scenarios="1" selectLockedCells="1"/>
  <mergeCells count="58">
    <mergeCell ref="F67:H67"/>
    <mergeCell ref="I85:K86"/>
    <mergeCell ref="F229:G229"/>
    <mergeCell ref="I88:I93"/>
    <mergeCell ref="K97:M97"/>
    <mergeCell ref="K108:M108"/>
    <mergeCell ref="K126:M126"/>
    <mergeCell ref="I74:I79"/>
    <mergeCell ref="K71:L71"/>
    <mergeCell ref="I83:I84"/>
    <mergeCell ref="I69:I70"/>
    <mergeCell ref="K83:L83"/>
    <mergeCell ref="K81:L81"/>
    <mergeCell ref="M34:M35"/>
    <mergeCell ref="E2:M2"/>
    <mergeCell ref="H6:I6"/>
    <mergeCell ref="J6:K6"/>
    <mergeCell ref="F3:H3"/>
    <mergeCell ref="F4:H4"/>
    <mergeCell ref="F5:H5"/>
    <mergeCell ref="J4:M4"/>
    <mergeCell ref="J3:M3"/>
    <mergeCell ref="L34:L35"/>
    <mergeCell ref="F41:H41"/>
    <mergeCell ref="F35:H35"/>
    <mergeCell ref="F36:H36"/>
    <mergeCell ref="F37:H37"/>
    <mergeCell ref="F38:H38"/>
    <mergeCell ref="F39:H39"/>
    <mergeCell ref="E249:F249"/>
    <mergeCell ref="E250:F250"/>
    <mergeCell ref="E252:F252"/>
    <mergeCell ref="E253:F253"/>
    <mergeCell ref="D12:M14"/>
    <mergeCell ref="F242:G242"/>
    <mergeCell ref="F216:G216"/>
    <mergeCell ref="F204:G204"/>
    <mergeCell ref="I45:M45"/>
    <mergeCell ref="I46:M46"/>
    <mergeCell ref="F185:G185"/>
    <mergeCell ref="G186:H186"/>
    <mergeCell ref="E157:E161"/>
    <mergeCell ref="I235:M235"/>
    <mergeCell ref="F34:H34"/>
    <mergeCell ref="F40:H40"/>
    <mergeCell ref="J248:K248"/>
    <mergeCell ref="J249:K249"/>
    <mergeCell ref="J250:K250"/>
    <mergeCell ref="J252:K252"/>
    <mergeCell ref="J253:K253"/>
    <mergeCell ref="E291:M291"/>
    <mergeCell ref="E292:M292"/>
    <mergeCell ref="E293:M293"/>
    <mergeCell ref="E254:F254"/>
    <mergeCell ref="E256:F256"/>
    <mergeCell ref="J254:K254"/>
    <mergeCell ref="J256:K256"/>
    <mergeCell ref="E280:M290"/>
  </mergeCells>
  <conditionalFormatting sqref="H49 E49">
    <cfRule type="expression" dxfId="54" priority="19">
      <formula>$F$39="EC 1995-1-1"</formula>
    </cfRule>
  </conditionalFormatting>
  <conditionalFormatting sqref="F3:F5 H185 J3:J4">
    <cfRule type="cellIs" dxfId="53" priority="77" operator="equal">
      <formula>1</formula>
    </cfRule>
    <cfRule type="cellIs" dxfId="52" priority="78" operator="lessThan">
      <formula>1</formula>
    </cfRule>
    <cfRule type="cellIs" dxfId="51" priority="79" operator="greaterThan">
      <formula>1</formula>
    </cfRule>
  </conditionalFormatting>
  <conditionalFormatting sqref="F5">
    <cfRule type="expression" dxfId="50" priority="12">
      <formula>$H$235=$AB$165</formula>
    </cfRule>
    <cfRule type="expression" dxfId="49" priority="17">
      <formula>$Z$241=$AC$165</formula>
    </cfRule>
  </conditionalFormatting>
  <conditionalFormatting sqref="F242:H242">
    <cfRule type="expression" dxfId="48" priority="18">
      <formula>$Z$241=$AC$165</formula>
    </cfRule>
    <cfRule type="expression" dxfId="47" priority="21">
      <formula>$H$235=$AB$165</formula>
    </cfRule>
  </conditionalFormatting>
  <conditionalFormatting sqref="H100 K105">
    <cfRule type="expression" dxfId="46" priority="32">
      <formula>$H$100="(*)"</formula>
    </cfRule>
  </conditionalFormatting>
  <conditionalFormatting sqref="H204">
    <cfRule type="cellIs" dxfId="45" priority="69" operator="equal">
      <formula>1</formula>
    </cfRule>
    <cfRule type="cellIs" dxfId="44" priority="70" operator="lessThan">
      <formula>1</formula>
    </cfRule>
    <cfRule type="cellIs" dxfId="43" priority="71" operator="greaterThan">
      <formula>1</formula>
    </cfRule>
  </conditionalFormatting>
  <conditionalFormatting sqref="H216">
    <cfRule type="cellIs" dxfId="42" priority="65" operator="equal">
      <formula>1</formula>
    </cfRule>
    <cfRule type="cellIs" dxfId="41" priority="66" operator="lessThan">
      <formula>1</formula>
    </cfRule>
    <cfRule type="cellIs" dxfId="40" priority="67" operator="greaterThan">
      <formula>1</formula>
    </cfRule>
  </conditionalFormatting>
  <conditionalFormatting sqref="H229">
    <cfRule type="cellIs" dxfId="39" priority="62" operator="equal">
      <formula>1</formula>
    </cfRule>
    <cfRule type="cellIs" dxfId="38" priority="63" operator="lessThan">
      <formula>1</formula>
    </cfRule>
    <cfRule type="cellIs" dxfId="37" priority="64" operator="greaterThan">
      <formula>1</formula>
    </cfRule>
  </conditionalFormatting>
  <conditionalFormatting sqref="H242">
    <cfRule type="cellIs" dxfId="36" priority="24" operator="equal">
      <formula>1</formula>
    </cfRule>
    <cfRule type="cellIs" dxfId="35" priority="25" operator="lessThan">
      <formula>1</formula>
    </cfRule>
    <cfRule type="cellIs" dxfId="34" priority="26" operator="greaterThan">
      <formula>1</formula>
    </cfRule>
  </conditionalFormatting>
  <conditionalFormatting sqref="H100:I100 K105">
    <cfRule type="expression" dxfId="33" priority="11">
      <formula>$H$100=0</formula>
    </cfRule>
  </conditionalFormatting>
  <conditionalFormatting sqref="I69">
    <cfRule type="expression" dxfId="32" priority="5">
      <formula>IF($H$72=$AA$54,$H$70&lt;$X$78)</formula>
    </cfRule>
    <cfRule type="expression" dxfId="31" priority="6">
      <formula>IF($H$72=$AA$53,$H$70&lt;$X$75)</formula>
    </cfRule>
    <cfRule type="expression" dxfId="30" priority="7">
      <formula>IF($H$72=$AA$53,$H$69&lt;$X$74)</formula>
    </cfRule>
    <cfRule type="expression" dxfId="29" priority="96">
      <formula>IF($H$72=$AA$54,$H$69&lt;$X$77)</formula>
    </cfRule>
  </conditionalFormatting>
  <conditionalFormatting sqref="I83">
    <cfRule type="expression" dxfId="28" priority="3">
      <formula>IF($H$89&gt;420,$H$84&lt;$X$84,$H$84&lt;$X$87)</formula>
    </cfRule>
    <cfRule type="expression" dxfId="27" priority="4">
      <formula>IF($H$89&gt;420,$H$83&lt;$X$83,$H$83&lt;$X$86)</formula>
    </cfRule>
  </conditionalFormatting>
  <conditionalFormatting sqref="I88:I93">
    <cfRule type="expression" dxfId="26" priority="14">
      <formula>$H$89&gt;420</formula>
    </cfRule>
  </conditionalFormatting>
  <conditionalFormatting sqref="I97:I99">
    <cfRule type="expression" dxfId="25" priority="43">
      <formula>$H$99=1</formula>
    </cfRule>
  </conditionalFormatting>
  <conditionalFormatting sqref="I98 I111 I141">
    <cfRule type="expression" dxfId="24" priority="34">
      <formula>$H$99=1</formula>
    </cfRule>
  </conditionalFormatting>
  <conditionalFormatting sqref="I100 K106 K109">
    <cfRule type="expression" dxfId="23" priority="30">
      <formula>$H$99=1</formula>
    </cfRule>
    <cfRule type="expression" dxfId="22" priority="31">
      <formula>$I$100="(**)"</formula>
    </cfRule>
  </conditionalFormatting>
  <conditionalFormatting sqref="I124">
    <cfRule type="expression" dxfId="21" priority="42">
      <formula>$H$99=1</formula>
    </cfRule>
  </conditionalFormatting>
  <conditionalFormatting sqref="I85 I86 J85 J86 K85 K86">
    <cfRule type="expression" dxfId="20" priority="27">
      <formula>$H$86&lt;&gt;0</formula>
    </cfRule>
  </conditionalFormatting>
  <conditionalFormatting sqref="K97:M97">
    <cfRule type="expression" dxfId="19" priority="20">
      <formula>$R$86=0</formula>
    </cfRule>
  </conditionalFormatting>
  <conditionalFormatting sqref="I74:I79">
    <cfRule type="expression" dxfId="18" priority="13">
      <formula>$H$72=$AA$54</formula>
    </cfRule>
    <cfRule type="expression" dxfId="17" priority="15">
      <formula>$H$75&gt;420</formula>
    </cfRule>
  </conditionalFormatting>
  <conditionalFormatting sqref="H87">
    <cfRule type="expression" dxfId="16" priority="10">
      <formula>ABS($H$86)&gt;=40</formula>
    </cfRule>
  </conditionalFormatting>
  <conditionalFormatting sqref="E138">
    <cfRule type="expression" dxfId="15" priority="97">
      <formula>$H$65="LOCK STOP"</formula>
    </cfRule>
  </conditionalFormatting>
  <conditionalFormatting sqref="H138">
    <cfRule type="expression" dxfId="14" priority="98">
      <formula>$H$65="LOCK STOP"</formula>
    </cfRule>
  </conditionalFormatting>
  <conditionalFormatting sqref="F67:H67">
    <cfRule type="expression" dxfId="13" priority="2">
      <formula>$H$65=$AB$60</formula>
    </cfRule>
  </conditionalFormatting>
  <conditionalFormatting sqref="I101:I109 I113:I122 I126:I135 I142:I153">
    <cfRule type="expression" dxfId="12" priority="1">
      <formula>$H$99=1</formula>
    </cfRule>
  </conditionalFormatting>
  <dataValidations count="9">
    <dataValidation type="list" allowBlank="1" showInputMessage="1" showErrorMessage="1" sqref="H46" xr:uid="{20F74C39-444C-4FD5-B810-2552D74F3AFB}">
      <formula1>$AB$181:$AF$181</formula1>
    </dataValidation>
    <dataValidation type="list" allowBlank="1" showInputMessage="1" showErrorMessage="1" sqref="H72" xr:uid="{80CC5818-23D3-4723-B035-6506B12F0CCA}">
      <formula1>$AA$53:$AA$54</formula1>
    </dataValidation>
    <dataValidation type="list" allowBlank="1" showInputMessage="1" showErrorMessage="1" sqref="H49 H235 H237 H239:H240" xr:uid="{EAA4A80C-5841-47AD-AAF5-84519BFD5F6D}">
      <formula1>$AB$165:$AC$165</formula1>
    </dataValidation>
    <dataValidation type="list" allowBlank="1" showInputMessage="1" showErrorMessage="1" sqref="F39:H39" xr:uid="{0DBFD786-A753-4C24-8DD4-953A884CB6AA}">
      <formula1>$X$37:$X$38</formula1>
    </dataValidation>
    <dataValidation type="list" allowBlank="1" showInputMessage="1" showErrorMessage="1" sqref="H99" xr:uid="{42818DDF-1D78-4430-9F24-6FD6B03BB117}">
      <formula1>"1,2"</formula1>
    </dataValidation>
    <dataValidation type="list" allowBlank="1" showInputMessage="1" showErrorMessage="1" sqref="H45" xr:uid="{080BFD63-7507-4913-A58F-D19D44895220}">
      <formula1>$AA$182:$AA$184</formula1>
    </dataValidation>
    <dataValidation type="list" allowBlank="1" showInputMessage="1" showErrorMessage="1" sqref="H238" xr:uid="{B135F561-4595-4524-907A-81DFDB9693A2}">
      <formula1>IF($H$237="NO",$AB$165:$AC$165,$AB$165)</formula1>
    </dataValidation>
    <dataValidation type="list" allowBlank="1" showInputMessage="1" showErrorMessage="1" sqref="H65" xr:uid="{D63EAC6B-45F1-485C-ADF5-33022D0232FB}">
      <formula1>IF($H$72=$AA$54,$AE$60:$AE$63,$AB$60:$AB$63)</formula1>
    </dataValidation>
    <dataValidation type="list" allowBlank="1" showInputMessage="1" showErrorMessage="1" sqref="H98" xr:uid="{45F85711-4EC2-450C-B204-93FE6100CAF7}">
      <formula1>IF($H$45=3,$AC$165,$AB$165:$AC$165)</formula1>
    </dataValidation>
  </dataValidations>
  <printOptions horizontalCentered="1"/>
  <pageMargins left="0.23622047244094491" right="0.23622047244094491" top="0.74803149606299213" bottom="0.74803149606299213" header="0.31496062992125984" footer="0.31496062992125984"/>
  <pageSetup paperSize="9" scale="47" fitToHeight="0" orientation="portrait" r:id="rId1"/>
  <rowBreaks count="3" manualBreakCount="3">
    <brk id="80" min="3" max="13" man="1"/>
    <brk id="154" min="3" max="13" man="1"/>
    <brk id="232" min="3"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90650" r:id="rId4" name="Button 7706">
              <controlPr locked="0" defaultSize="0" print="0" autoFill="0" autoPict="0" macro="[0]!SalvaInPDF">
                <anchor moveWithCells="1" sizeWithCells="1">
                  <from>
                    <xdr:col>11</xdr:col>
                    <xdr:colOff>1162050</xdr:colOff>
                    <xdr:row>36</xdr:row>
                    <xdr:rowOff>85725</xdr:rowOff>
                  </from>
                  <to>
                    <xdr:col>12</xdr:col>
                    <xdr:colOff>1066800</xdr:colOff>
                    <xdr:row>38</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C75E10F2-CBBE-42E8-881F-D2F6B1FB60E1}">
            <xm:f>NOT(ISERROR(SEARCH("-",F3)))</xm:f>
            <xm:f>"-"</xm:f>
            <x14:dxf>
              <font>
                <color auto="1"/>
              </font>
              <fill>
                <patternFill patternType="solid">
                  <bgColor theme="0" tint="-4.9989318521683403E-2"/>
                </patternFill>
              </fill>
            </x14:dxf>
          </x14:cfRule>
          <xm:sqref>F3:F5 H185 J3:J4</xm:sqref>
        </x14:conditionalFormatting>
        <x14:conditionalFormatting xmlns:xm="http://schemas.microsoft.com/office/excel/2006/main">
          <x14:cfRule type="containsText" priority="9" operator="containsText" id="{15E2A4BF-7D11-4FEA-97AF-44E5C29A6801}">
            <xm:f>NOT(ISERROR(SEARCH("-",H204)))</xm:f>
            <xm:f>"-"</xm:f>
            <x14:dxf>
              <font>
                <color auto="1"/>
              </font>
              <fill>
                <patternFill patternType="none">
                  <bgColor auto="1"/>
                </patternFill>
              </fill>
            </x14:dxf>
          </x14:cfRule>
          <xm:sqref>H204</xm:sqref>
        </x14:conditionalFormatting>
        <x14:conditionalFormatting xmlns:xm="http://schemas.microsoft.com/office/excel/2006/main">
          <x14:cfRule type="containsText" priority="54" operator="containsText" id="{134DF7D7-D44A-471D-B8E5-4FD7D9559FA0}">
            <xm:f>NOT(ISERROR(SEARCH(Translation!$B$209,F185)))</xm:f>
            <xm:f>Translation!$B$209</xm:f>
            <x14:dxf>
              <font>
                <color rgb="FF9C0006"/>
              </font>
              <fill>
                <patternFill>
                  <bgColor rgb="FFFFC7CE"/>
                </patternFill>
              </fill>
            </x14:dxf>
          </x14:cfRule>
          <x14:cfRule type="containsText" priority="55" operator="containsText" id="{F9DC64B8-36FB-4D43-A318-BD9147C32CFC}">
            <xm:f>NOT(ISERROR(SEARCH(Translation!$B$208,F185)))</xm:f>
            <xm:f>Translation!$B$208</xm:f>
            <x14:dxf>
              <font>
                <color rgb="FF006100"/>
              </font>
              <fill>
                <patternFill>
                  <bgColor rgb="FFC6EFCE"/>
                </patternFill>
              </fill>
            </x14:dxf>
          </x14:cfRule>
          <xm:sqref>F185</xm:sqref>
        </x14:conditionalFormatting>
        <x14:conditionalFormatting xmlns:xm="http://schemas.microsoft.com/office/excel/2006/main">
          <x14:cfRule type="containsText" priority="52" operator="containsText" id="{65B9A646-05AA-402E-AEF4-5F9E1EA5A0B1}">
            <xm:f>NOT(ISERROR(SEARCH(Translation!$B$209,F204)))</xm:f>
            <xm:f>Translation!$B$209</xm:f>
            <x14:dxf>
              <font>
                <color rgb="FF9C0006"/>
              </font>
              <fill>
                <patternFill>
                  <bgColor rgb="FFFFC7CE"/>
                </patternFill>
              </fill>
            </x14:dxf>
          </x14:cfRule>
          <x14:cfRule type="containsText" priority="53" operator="containsText" id="{33647315-71E0-4893-BA12-8F3A74AA13E9}">
            <xm:f>NOT(ISERROR(SEARCH(Translation!$B$208,F204)))</xm:f>
            <xm:f>Translation!$B$208</xm:f>
            <x14:dxf>
              <font>
                <color rgb="FF006100"/>
              </font>
              <fill>
                <patternFill>
                  <bgColor rgb="FFC6EFCE"/>
                </patternFill>
              </fill>
            </x14:dxf>
          </x14:cfRule>
          <xm:sqref>F204</xm:sqref>
        </x14:conditionalFormatting>
        <x14:conditionalFormatting xmlns:xm="http://schemas.microsoft.com/office/excel/2006/main">
          <x14:cfRule type="containsText" priority="50" operator="containsText" id="{A147FCD2-30D8-4257-9C53-A7B5CEAF83F9}">
            <xm:f>NOT(ISERROR(SEARCH(Translation!$B$209,F216)))</xm:f>
            <xm:f>Translation!$B$209</xm:f>
            <x14:dxf>
              <font>
                <color rgb="FF9C0006"/>
              </font>
              <fill>
                <patternFill>
                  <bgColor rgb="FFFFC7CE"/>
                </patternFill>
              </fill>
            </x14:dxf>
          </x14:cfRule>
          <x14:cfRule type="containsText" priority="51" operator="containsText" id="{C45A305B-F4F0-4E6C-86F3-F9917C07CD92}">
            <xm:f>NOT(ISERROR(SEARCH(Translation!$B$208,F216)))</xm:f>
            <xm:f>Translation!$B$208</xm:f>
            <x14:dxf>
              <font>
                <color rgb="FF006100"/>
              </font>
              <fill>
                <patternFill>
                  <bgColor rgb="FFC6EFCE"/>
                </patternFill>
              </fill>
            </x14:dxf>
          </x14:cfRule>
          <xm:sqref>F216</xm:sqref>
        </x14:conditionalFormatting>
        <x14:conditionalFormatting xmlns:xm="http://schemas.microsoft.com/office/excel/2006/main">
          <x14:cfRule type="containsText" priority="48" operator="containsText" id="{A5CB73A3-073A-4D7F-AC8A-2D29BED25B68}">
            <xm:f>NOT(ISERROR(SEARCH(Translation!$B$209,F229)))</xm:f>
            <xm:f>Translation!$B$209</xm:f>
            <x14:dxf>
              <font>
                <color rgb="FF9C0006"/>
              </font>
              <fill>
                <patternFill>
                  <bgColor rgb="FFFFC7CE"/>
                </patternFill>
              </fill>
            </x14:dxf>
          </x14:cfRule>
          <x14:cfRule type="containsText" priority="49" operator="containsText" id="{9701C6C4-20BB-47DC-A47F-042339DC0BC5}">
            <xm:f>NOT(ISERROR(SEARCH(Translation!$B$208,F229)))</xm:f>
            <xm:f>Translation!$B$208</xm:f>
            <x14:dxf>
              <font>
                <color rgb="FF006100"/>
              </font>
              <fill>
                <patternFill>
                  <bgColor rgb="FFC6EFCE"/>
                </patternFill>
              </fill>
            </x14:dxf>
          </x14:cfRule>
          <xm:sqref>F229</xm:sqref>
        </x14:conditionalFormatting>
        <x14:conditionalFormatting xmlns:xm="http://schemas.microsoft.com/office/excel/2006/main">
          <x14:cfRule type="containsText" priority="22" operator="containsText" id="{5E5D47D5-908C-4F21-86D1-E2A0D3C04A4C}">
            <xm:f>NOT(ISERROR(SEARCH(Translation!$B$209,F242)))</xm:f>
            <xm:f>Translation!$B$209</xm:f>
            <x14:dxf>
              <font>
                <color rgb="FF9C0006"/>
              </font>
              <fill>
                <patternFill>
                  <bgColor rgb="FFFFC7CE"/>
                </patternFill>
              </fill>
            </x14:dxf>
          </x14:cfRule>
          <x14:cfRule type="containsText" priority="23" operator="containsText" id="{ADB260A9-4369-46D0-9458-CF87BAE21D4A}">
            <xm:f>NOT(ISERROR(SEARCH(Translation!$B$208,F242)))</xm:f>
            <xm:f>Translation!$B$208</xm:f>
            <x14:dxf>
              <font>
                <color rgb="FF006100"/>
              </font>
              <fill>
                <patternFill>
                  <bgColor rgb="FFC6EFCE"/>
                </patternFill>
              </fill>
            </x14:dxf>
          </x14:cfRule>
          <xm:sqref>F242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44B41BD5-A3FA-43EE-81BB-903D3A24E49E}">
          <x14:formula1>
            <xm:f>Data!$B$4:$B$40</xm:f>
          </x14:formula1>
          <xm:sqref>H71</xm:sqref>
        </x14:dataValidation>
        <x14:dataValidation type="list" allowBlank="1" showInputMessage="1" showErrorMessage="1" xr:uid="{2740173D-BBBD-4E53-9AFC-CD291E22520A}">
          <x14:formula1>
            <xm:f>Data!$AA$4:$AA$22</xm:f>
          </x14:formula1>
          <xm:sqref>H97</xm:sqref>
        </x14:dataValidation>
        <x14:dataValidation type="list" allowBlank="1" showInputMessage="1" showErrorMessage="1" xr:uid="{B5868E72-38F6-4CA2-9228-7F550F3AE4C0}">
          <x14:formula1>
            <xm:f>IF(Data!$AW$8=1,Data!$AW$9,IF(Data!$AW$8=2,Data!$AW$9:$AW$10,Data!$AW$9:$AW$11))</xm:f>
          </x14:formula1>
          <xm:sqref>I97</xm:sqref>
        </x14:dataValidation>
        <x14:dataValidation type="list" allowBlank="1" showInputMessage="1" showErrorMessage="1" xr:uid="{F3C7CFF6-F4E7-442E-B362-F304693DD741}">
          <x14:formula1>
            <xm:f>Screws!$V$28:$V$34</xm:f>
          </x14:formula1>
          <xm:sqref>H124</xm:sqref>
        </x14:dataValidation>
        <x14:dataValidation type="list" allowBlank="1" showInputMessage="1" showErrorMessage="1" xr:uid="{23B06BDC-F583-4FD1-948D-894D78002DB4}">
          <x14:formula1>
            <xm:f>Data!$EC$4:$EC$40</xm:f>
          </x14:formula1>
          <xm:sqref>H85</xm:sqref>
        </x14:dataValidation>
        <x14:dataValidation type="list" allowBlank="1" showInputMessage="1" showErrorMessage="1" xr:uid="{525C9718-EE60-4D86-987F-17F8C145B7A0}">
          <x14:formula1>
            <xm:f>Translation!$L$9:$L$14</xm:f>
          </x14:formula1>
          <xm:sqref>M34:M35</xm:sqref>
        </x14:dataValidation>
        <x14:dataValidation type="list" allowBlank="1" showInputMessage="1" showErrorMessage="1" xr:uid="{425DF6B3-CCB0-461E-ADB9-132436AFC572}">
          <x14:formula1>
            <xm:f>IF($AC$86&lt;130,IF($H$45=3,Screws!$O$11:$O$24,Screws!$O$6:$O$24),IF($H$45=3,Screws!$R$9:$R$15,Screws!$R$6:$R$15))</xm:f>
          </x14:formula1>
          <xm:sqref>H111</xm:sqref>
        </x14:dataValidation>
        <x14:dataValidation type="list" allowBlank="1" showInputMessage="1" showErrorMessage="1" xr:uid="{C037DF57-0761-4772-951C-00A8DB058E5F}">
          <x14:formula1>
            <xm:f>IF($H$65="LOCK STOP",IF(H99=1,Data!$BD$4:$BD$5,IF(H99=2,IF(H104&lt;135,Data!BF4,IF(H104&gt;=135,Data!BG4:BG5,IF($H$65="Viti inclinate",$H$141,"-"))))))</xm:f>
          </x14:formula1>
          <xm:sqref>H138</xm:sqref>
        </x14:dataValidation>
        <x14:dataValidation type="list" allowBlank="1" showInputMessage="1" showErrorMessage="1" xr:uid="{7CA99C84-04A7-4CC2-94BA-8F1D6E77C397}">
          <x14:formula1>
            <xm:f>IF(H97="LOCK-T 18 80",Screws!C37,IF($AC$86&lt;130,IF(H45=3,Screws!V13:V14,Screws!$V$6:$V$9),IF(H45=3,Screws!X13:X16,Screws!$X$6:$X$11)))</xm:f>
          </x14:formula1>
          <xm:sqref>H141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tabColor theme="9" tint="0.39997558519241921"/>
  </sheetPr>
  <dimension ref="B2:AZ81"/>
  <sheetViews>
    <sheetView showRowColHeaders="0" view="pageBreakPreview" zoomScale="85" zoomScaleNormal="85" zoomScaleSheetLayoutView="85" workbookViewId="0">
      <selection activeCell="B3" sqref="B3:J3"/>
    </sheetView>
  </sheetViews>
  <sheetFormatPr defaultRowHeight="12.75" x14ac:dyDescent="0.2"/>
  <cols>
    <col min="1" max="1" width="2.875" customWidth="1"/>
    <col min="2" max="2" width="15.375" customWidth="1"/>
    <col min="3" max="3" width="26.625" customWidth="1"/>
    <col min="4" max="4" width="15.5" bestFit="1" customWidth="1"/>
    <col min="5" max="5" width="12.625" style="2" customWidth="1"/>
    <col min="6" max="7" width="12.625" customWidth="1"/>
    <col min="8" max="10" width="10.625" customWidth="1"/>
    <col min="11" max="11" width="10.625" hidden="1" customWidth="1"/>
    <col min="12" max="12" width="3.125" hidden="1" customWidth="1"/>
    <col min="13" max="15" width="15.625" hidden="1" customWidth="1"/>
    <col min="16" max="32" width="9" hidden="1" customWidth="1"/>
    <col min="33" max="33" width="24" hidden="1" customWidth="1"/>
    <col min="34" max="34" width="19.875" hidden="1" customWidth="1"/>
    <col min="35" max="35" width="18.625" hidden="1" customWidth="1"/>
    <col min="36" max="36" width="15.875" hidden="1" customWidth="1"/>
    <col min="37" max="37" width="11.875" hidden="1" customWidth="1"/>
    <col min="38" max="38" width="18.25" hidden="1" customWidth="1"/>
    <col min="39" max="39" width="36.75" hidden="1" customWidth="1"/>
    <col min="40" max="40" width="18.875" hidden="1" customWidth="1"/>
    <col min="41" max="41" width="36.75" hidden="1" customWidth="1"/>
    <col min="42" max="42" width="41.875" hidden="1" customWidth="1"/>
    <col min="43" max="52" width="9" hidden="1" customWidth="1"/>
  </cols>
  <sheetData>
    <row r="2" spans="2:46" ht="13.5" thickBot="1" x14ac:dyDescent="0.25"/>
    <row r="3" spans="2:46" ht="39.950000000000003" customHeight="1" thickBot="1" x14ac:dyDescent="0.25">
      <c r="B3" s="412" t="str">
        <f>Translation!B10</f>
        <v>Screws geometry and characteristics</v>
      </c>
      <c r="C3" s="413"/>
      <c r="D3" s="413"/>
      <c r="E3" s="413"/>
      <c r="F3" s="413"/>
      <c r="G3" s="413"/>
      <c r="H3" s="413"/>
      <c r="I3" s="413"/>
      <c r="J3" s="414"/>
      <c r="K3" s="58"/>
      <c r="AG3" s="216" t="s">
        <v>321</v>
      </c>
      <c r="AH3" s="99" t="s">
        <v>283</v>
      </c>
      <c r="AI3" s="99" t="s">
        <v>284</v>
      </c>
      <c r="AJ3" s="99" t="s">
        <v>285</v>
      </c>
      <c r="AK3" s="99" t="s">
        <v>11</v>
      </c>
      <c r="AL3" s="99" t="s">
        <v>286</v>
      </c>
      <c r="AM3" s="99" t="s">
        <v>287</v>
      </c>
      <c r="AN3" s="99" t="s">
        <v>288</v>
      </c>
      <c r="AO3" s="99" t="s">
        <v>289</v>
      </c>
      <c r="AP3" s="99" t="s">
        <v>322</v>
      </c>
    </row>
    <row r="4" spans="2:46" s="3" customFormat="1" ht="17.25" x14ac:dyDescent="0.2">
      <c r="B4" s="415" t="str">
        <f>Translation!B11</f>
        <v>Screw type</v>
      </c>
      <c r="C4" s="416"/>
      <c r="D4" s="417"/>
      <c r="E4" s="66" t="str">
        <f>Translation!B12</f>
        <v>Diameter</v>
      </c>
      <c r="F4" s="67"/>
      <c r="G4" s="66" t="str">
        <f>Translation!B13</f>
        <v>Length</v>
      </c>
      <c r="H4" s="68" t="str">
        <f>CONCATENATE(Translation!B14," b")</f>
        <v>Thread b</v>
      </c>
      <c r="I4" s="66" t="s">
        <v>12</v>
      </c>
      <c r="J4" s="69" t="s">
        <v>13</v>
      </c>
      <c r="K4" s="59"/>
      <c r="AH4" s="197" t="s">
        <v>291</v>
      </c>
      <c r="AI4" s="197" t="s">
        <v>292</v>
      </c>
      <c r="AJ4" s="197" t="s">
        <v>293</v>
      </c>
      <c r="AK4" s="197" t="s">
        <v>290</v>
      </c>
      <c r="AL4" s="197" t="s">
        <v>294</v>
      </c>
      <c r="AM4" s="197" t="s">
        <v>295</v>
      </c>
      <c r="AN4" s="197" t="s">
        <v>296</v>
      </c>
      <c r="AO4" s="197" t="s">
        <v>297</v>
      </c>
      <c r="AP4" s="197" t="s">
        <v>323</v>
      </c>
      <c r="AT4" s="3" t="s">
        <v>513</v>
      </c>
    </row>
    <row r="5" spans="2:46" s="3" customFormat="1" ht="15" customHeight="1" thickBot="1" x14ac:dyDescent="0.25">
      <c r="B5" s="418"/>
      <c r="C5" s="419"/>
      <c r="D5" s="420"/>
      <c r="E5" s="70" t="s">
        <v>14</v>
      </c>
      <c r="F5" s="71"/>
      <c r="G5" s="64" t="s">
        <v>14</v>
      </c>
      <c r="H5" s="63" t="s">
        <v>14</v>
      </c>
      <c r="I5" s="64" t="s">
        <v>15</v>
      </c>
      <c r="J5" s="65" t="s">
        <v>16</v>
      </c>
      <c r="K5" s="59"/>
      <c r="AH5" s="197" t="s">
        <v>261</v>
      </c>
      <c r="AI5" s="197" t="s">
        <v>261</v>
      </c>
      <c r="AJ5" s="197" t="s">
        <v>261</v>
      </c>
      <c r="AK5" s="197" t="s">
        <v>261</v>
      </c>
      <c r="AL5" s="197" t="s">
        <v>261</v>
      </c>
      <c r="AM5" s="197" t="s">
        <v>299</v>
      </c>
      <c r="AN5" s="197" t="s">
        <v>300</v>
      </c>
      <c r="AO5" s="197" t="s">
        <v>258</v>
      </c>
      <c r="AP5" s="197" t="s">
        <v>324</v>
      </c>
    </row>
    <row r="6" spans="2:46" ht="24.95" customHeight="1" thickBot="1" x14ac:dyDescent="0.25">
      <c r="B6" s="19" t="s">
        <v>17</v>
      </c>
      <c r="C6" s="23" t="str">
        <f t="shared" ref="C6:C23" si="0">D6&amp;" Ø "&amp;E6&amp;" x "&amp;G6</f>
        <v>LBS Ø 5 x 25</v>
      </c>
      <c r="D6" s="8" t="s">
        <v>18</v>
      </c>
      <c r="E6" s="9">
        <v>5</v>
      </c>
      <c r="F6" s="9" t="s">
        <v>19</v>
      </c>
      <c r="G6" s="9">
        <v>25</v>
      </c>
      <c r="H6" s="7">
        <v>21</v>
      </c>
      <c r="I6" s="7">
        <v>5417.2</v>
      </c>
      <c r="J6" s="60">
        <v>7900</v>
      </c>
      <c r="K6" s="85" t="s">
        <v>17</v>
      </c>
      <c r="O6" s="254" t="str">
        <f>C6</f>
        <v>LBS Ø 5 x 25</v>
      </c>
      <c r="R6" s="254" t="str">
        <f>C11</f>
        <v>LBS Ø 7 x 60</v>
      </c>
      <c r="V6" t="str">
        <f>O6</f>
        <v>LBS Ø 5 x 25</v>
      </c>
      <c r="X6" t="str">
        <f>O6</f>
        <v>LBS Ø 5 x 25</v>
      </c>
      <c r="AG6" t="str">
        <f>C6</f>
        <v>LBS Ø 5 x 25</v>
      </c>
      <c r="AH6" s="2">
        <f>E6</f>
        <v>5</v>
      </c>
      <c r="AI6" s="2">
        <f>IF(AH6=5,3,4.4)</f>
        <v>3</v>
      </c>
      <c r="AJ6" s="2">
        <f>IF(AH6=5,7.8,11)</f>
        <v>7.8</v>
      </c>
      <c r="AK6" s="2">
        <f>G6</f>
        <v>25</v>
      </c>
      <c r="AL6" s="2">
        <f>H6</f>
        <v>21</v>
      </c>
      <c r="AM6" s="2">
        <v>11.7</v>
      </c>
      <c r="AN6" s="2">
        <v>350</v>
      </c>
      <c r="AO6" s="2">
        <f>IF(AH6=5,7.9,15.4)</f>
        <v>7.9</v>
      </c>
      <c r="AP6" s="2">
        <f>IF(AH6=5,5.4,14.2)</f>
        <v>5.4</v>
      </c>
      <c r="AS6" s="19" t="s">
        <v>17</v>
      </c>
      <c r="AT6">
        <v>500</v>
      </c>
    </row>
    <row r="7" spans="2:46" ht="24.95" customHeight="1" x14ac:dyDescent="0.2">
      <c r="B7" s="14" t="s">
        <v>20</v>
      </c>
      <c r="C7" s="24" t="str">
        <f t="shared" si="0"/>
        <v>LBS Ø 5 x 40</v>
      </c>
      <c r="D7" s="5" t="s">
        <v>18</v>
      </c>
      <c r="E7" s="6">
        <v>5</v>
      </c>
      <c r="F7" s="6" t="s">
        <v>19</v>
      </c>
      <c r="G7" s="6">
        <v>40</v>
      </c>
      <c r="H7" s="7">
        <v>36</v>
      </c>
      <c r="I7" s="4">
        <f>I6</f>
        <v>5417.2</v>
      </c>
      <c r="J7" s="56">
        <f>J6</f>
        <v>7900</v>
      </c>
      <c r="K7" s="85" t="s">
        <v>20</v>
      </c>
      <c r="O7" t="str">
        <f t="shared" ref="O7:O10" si="1">C7</f>
        <v>LBS Ø 5 x 40</v>
      </c>
      <c r="R7" t="str">
        <f t="shared" ref="R7:R8" si="2">C12</f>
        <v>LBS Ø 7 x 80</v>
      </c>
      <c r="V7" t="str">
        <f>O7</f>
        <v>LBS Ø 5 x 40</v>
      </c>
      <c r="X7" t="str">
        <f t="shared" ref="X7:X9" si="3">O7</f>
        <v>LBS Ø 5 x 40</v>
      </c>
      <c r="AG7" t="str">
        <f t="shared" ref="AG7:AG29" si="4">C7</f>
        <v>LBS Ø 5 x 40</v>
      </c>
      <c r="AH7" s="2">
        <f t="shared" ref="AH7:AH29" si="5">E7</f>
        <v>5</v>
      </c>
      <c r="AI7" s="2">
        <f t="shared" ref="AI7:AI12" si="6">IF(AH7=5,3,4.4)</f>
        <v>3</v>
      </c>
      <c r="AJ7" s="2">
        <f t="shared" ref="AJ7:AJ13" si="7">IF(AH7=5,7.8,11)</f>
        <v>7.8</v>
      </c>
      <c r="AK7" s="2">
        <f t="shared" ref="AK7:AK29" si="8">G7</f>
        <v>40</v>
      </c>
      <c r="AL7" s="2">
        <f t="shared" ref="AL7:AL29" si="9">H7</f>
        <v>36</v>
      </c>
      <c r="AM7" s="2">
        <v>11.7</v>
      </c>
      <c r="AN7" s="2">
        <v>350</v>
      </c>
      <c r="AO7" s="2">
        <f t="shared" ref="AO7:AO13" si="10">IF(AH7=5,7.9,15.4)</f>
        <v>7.9</v>
      </c>
      <c r="AP7" s="2">
        <f t="shared" ref="AP7:AP13" si="11">IF(AH7=5,5.4,14.2)</f>
        <v>5.4</v>
      </c>
      <c r="AS7" s="14" t="s">
        <v>20</v>
      </c>
      <c r="AT7">
        <v>500</v>
      </c>
    </row>
    <row r="8" spans="2:46" ht="24.95" customHeight="1" thickBot="1" x14ac:dyDescent="0.25">
      <c r="B8" s="14" t="s">
        <v>21</v>
      </c>
      <c r="C8" s="24" t="str">
        <f t="shared" si="0"/>
        <v>LBS Ø 5 x 50</v>
      </c>
      <c r="D8" s="5" t="s">
        <v>18</v>
      </c>
      <c r="E8" s="6">
        <v>5</v>
      </c>
      <c r="F8" s="6" t="s">
        <v>19</v>
      </c>
      <c r="G8" s="6">
        <v>50</v>
      </c>
      <c r="H8" s="7">
        <v>46</v>
      </c>
      <c r="I8" s="4">
        <f t="shared" ref="I8:J23" si="12">I7</f>
        <v>5417.2</v>
      </c>
      <c r="J8" s="56">
        <f t="shared" si="12"/>
        <v>7900</v>
      </c>
      <c r="K8" s="85" t="s">
        <v>21</v>
      </c>
      <c r="O8" t="str">
        <f t="shared" si="1"/>
        <v>LBS Ø 5 x 50</v>
      </c>
      <c r="R8" t="str">
        <f t="shared" si="2"/>
        <v>LBS Ø 7 x 100</v>
      </c>
      <c r="V8" t="str">
        <f>O8</f>
        <v>LBS Ø 5 x 50</v>
      </c>
      <c r="X8" t="str">
        <f t="shared" si="3"/>
        <v>LBS Ø 5 x 50</v>
      </c>
      <c r="AG8" t="str">
        <f t="shared" si="4"/>
        <v>LBS Ø 5 x 50</v>
      </c>
      <c r="AH8" s="2">
        <f t="shared" si="5"/>
        <v>5</v>
      </c>
      <c r="AI8" s="2">
        <f t="shared" si="6"/>
        <v>3</v>
      </c>
      <c r="AJ8" s="2">
        <f t="shared" si="7"/>
        <v>7.8</v>
      </c>
      <c r="AK8" s="2">
        <f t="shared" si="8"/>
        <v>50</v>
      </c>
      <c r="AL8" s="2">
        <f t="shared" si="9"/>
        <v>46</v>
      </c>
      <c r="AM8" s="2">
        <v>11.7</v>
      </c>
      <c r="AN8" s="2">
        <v>350</v>
      </c>
      <c r="AO8" s="2">
        <f t="shared" si="10"/>
        <v>7.9</v>
      </c>
      <c r="AP8" s="2">
        <f t="shared" si="11"/>
        <v>5.4</v>
      </c>
      <c r="AS8" s="14" t="s">
        <v>21</v>
      </c>
      <c r="AT8">
        <v>200</v>
      </c>
    </row>
    <row r="9" spans="2:46" ht="24.95" customHeight="1" thickBot="1" x14ac:dyDescent="0.25">
      <c r="B9" s="14" t="s">
        <v>22</v>
      </c>
      <c r="C9" s="24" t="str">
        <f t="shared" si="0"/>
        <v>LBS Ø 5 x 60</v>
      </c>
      <c r="D9" s="5" t="s">
        <v>18</v>
      </c>
      <c r="E9" s="6">
        <v>5</v>
      </c>
      <c r="F9" s="6" t="s">
        <v>19</v>
      </c>
      <c r="G9" s="6">
        <v>60</v>
      </c>
      <c r="H9" s="7">
        <v>56</v>
      </c>
      <c r="I9" s="4">
        <f t="shared" si="12"/>
        <v>5417.2</v>
      </c>
      <c r="J9" s="56">
        <f t="shared" si="12"/>
        <v>7900</v>
      </c>
      <c r="K9" s="85" t="s">
        <v>22</v>
      </c>
      <c r="O9" t="str">
        <f t="shared" si="1"/>
        <v>LBS Ø 5 x 60</v>
      </c>
      <c r="R9" s="254" t="str">
        <f>C21</f>
        <v>KKF Ø 6 x 80</v>
      </c>
      <c r="V9" t="s">
        <v>145</v>
      </c>
      <c r="X9" t="str">
        <f t="shared" si="3"/>
        <v>LBS Ø 5 x 60</v>
      </c>
      <c r="AG9" t="str">
        <f t="shared" si="4"/>
        <v>LBS Ø 5 x 60</v>
      </c>
      <c r="AH9" s="2">
        <f t="shared" si="5"/>
        <v>5</v>
      </c>
      <c r="AI9" s="2">
        <f t="shared" si="6"/>
        <v>3</v>
      </c>
      <c r="AJ9" s="2">
        <f t="shared" si="7"/>
        <v>7.8</v>
      </c>
      <c r="AK9" s="2">
        <f t="shared" si="8"/>
        <v>60</v>
      </c>
      <c r="AL9" s="2">
        <f t="shared" si="9"/>
        <v>56</v>
      </c>
      <c r="AM9" s="2">
        <v>11.7</v>
      </c>
      <c r="AN9" s="2">
        <v>350</v>
      </c>
      <c r="AO9" s="2">
        <f t="shared" si="10"/>
        <v>7.9</v>
      </c>
      <c r="AP9" s="2">
        <f t="shared" si="11"/>
        <v>5.4</v>
      </c>
      <c r="AS9" s="14" t="s">
        <v>22</v>
      </c>
      <c r="AT9">
        <v>200</v>
      </c>
    </row>
    <row r="10" spans="2:46" ht="24.95" customHeight="1" thickBot="1" x14ac:dyDescent="0.25">
      <c r="B10" s="15" t="s">
        <v>23</v>
      </c>
      <c r="C10" s="25" t="str">
        <f t="shared" si="0"/>
        <v>LBS Ø 5 x 70</v>
      </c>
      <c r="D10" s="17" t="s">
        <v>18</v>
      </c>
      <c r="E10" s="18">
        <v>5</v>
      </c>
      <c r="F10" s="18" t="s">
        <v>19</v>
      </c>
      <c r="G10" s="173">
        <v>70</v>
      </c>
      <c r="H10" s="35">
        <v>66</v>
      </c>
      <c r="I10" s="16">
        <f t="shared" si="12"/>
        <v>5417.2</v>
      </c>
      <c r="J10" s="57">
        <f t="shared" si="12"/>
        <v>7900</v>
      </c>
      <c r="K10" s="85" t="s">
        <v>23</v>
      </c>
      <c r="M10" t="str">
        <f>C15</f>
        <v>KKF Ø 5 x 50</v>
      </c>
      <c r="O10" t="str">
        <f t="shared" si="1"/>
        <v>LBS Ø 5 x 70</v>
      </c>
      <c r="R10" t="str">
        <f t="shared" ref="R10:R11" si="13">C22</f>
        <v>KKF Ø 6 x 100</v>
      </c>
      <c r="X10" t="str">
        <f>O10</f>
        <v>LBS Ø 5 x 70</v>
      </c>
      <c r="AG10" s="217" t="str">
        <f t="shared" si="4"/>
        <v>LBS Ø 5 x 70</v>
      </c>
      <c r="AH10" s="218">
        <f t="shared" si="5"/>
        <v>5</v>
      </c>
      <c r="AI10" s="218">
        <f t="shared" si="6"/>
        <v>3</v>
      </c>
      <c r="AJ10" s="218">
        <f t="shared" si="7"/>
        <v>7.8</v>
      </c>
      <c r="AK10" s="218">
        <f t="shared" si="8"/>
        <v>70</v>
      </c>
      <c r="AL10" s="218">
        <f t="shared" si="9"/>
        <v>66</v>
      </c>
      <c r="AM10" s="218">
        <v>11.7</v>
      </c>
      <c r="AN10" s="218">
        <v>350</v>
      </c>
      <c r="AO10" s="218">
        <f t="shared" si="10"/>
        <v>7.9</v>
      </c>
      <c r="AP10" s="218">
        <f t="shared" si="11"/>
        <v>5.4</v>
      </c>
      <c r="AS10" s="15" t="s">
        <v>23</v>
      </c>
      <c r="AT10">
        <v>200</v>
      </c>
    </row>
    <row r="11" spans="2:46" ht="24.95" customHeight="1" thickBot="1" x14ac:dyDescent="0.25">
      <c r="B11" s="10" t="s">
        <v>24</v>
      </c>
      <c r="C11" s="26" t="str">
        <f t="shared" si="0"/>
        <v>LBS Ø 7 x 60</v>
      </c>
      <c r="D11" s="12" t="s">
        <v>18</v>
      </c>
      <c r="E11" s="13">
        <v>7</v>
      </c>
      <c r="F11" s="13" t="s">
        <v>19</v>
      </c>
      <c r="G11" s="174">
        <v>60</v>
      </c>
      <c r="H11" s="87">
        <v>55</v>
      </c>
      <c r="I11" s="11">
        <v>14174</v>
      </c>
      <c r="J11" s="55">
        <v>19200</v>
      </c>
      <c r="K11" s="85" t="s">
        <v>24</v>
      </c>
      <c r="M11">
        <f>VLOOKUP(M10,Screws!$C$6:$J$29,8,FALSE)</f>
        <v>7900</v>
      </c>
      <c r="O11" s="254" t="str">
        <f t="shared" ref="O11:O17" si="14">C14</f>
        <v>KKF Ø 5 x 40</v>
      </c>
      <c r="R11" t="str">
        <f t="shared" si="13"/>
        <v>KKF Ø 6 x 120</v>
      </c>
      <c r="X11" t="s">
        <v>145</v>
      </c>
      <c r="AG11" s="219" t="str">
        <f t="shared" si="4"/>
        <v>LBS Ø 7 x 60</v>
      </c>
      <c r="AH11" s="220">
        <f t="shared" si="5"/>
        <v>7</v>
      </c>
      <c r="AI11" s="220">
        <f t="shared" si="6"/>
        <v>4.4000000000000004</v>
      </c>
      <c r="AJ11" s="220">
        <f t="shared" si="7"/>
        <v>11</v>
      </c>
      <c r="AK11" s="220">
        <f t="shared" si="8"/>
        <v>60</v>
      </c>
      <c r="AL11" s="220">
        <f t="shared" si="9"/>
        <v>55</v>
      </c>
      <c r="AM11" s="2">
        <v>11.7</v>
      </c>
      <c r="AN11" s="220">
        <v>350</v>
      </c>
      <c r="AO11" s="2">
        <f t="shared" si="10"/>
        <v>15.4</v>
      </c>
      <c r="AP11" s="2">
        <f t="shared" si="11"/>
        <v>14.2</v>
      </c>
      <c r="AS11" s="10" t="s">
        <v>24</v>
      </c>
      <c r="AT11">
        <v>100</v>
      </c>
    </row>
    <row r="12" spans="2:46" ht="24.95" customHeight="1" thickBot="1" x14ac:dyDescent="0.25">
      <c r="B12" s="14" t="s">
        <v>25</v>
      </c>
      <c r="C12" s="24" t="str">
        <f t="shared" si="0"/>
        <v>LBS Ø 7 x 80</v>
      </c>
      <c r="D12" s="5" t="s">
        <v>18</v>
      </c>
      <c r="E12" s="6">
        <v>7</v>
      </c>
      <c r="F12" s="6" t="s">
        <v>19</v>
      </c>
      <c r="G12" s="175">
        <v>80</v>
      </c>
      <c r="H12" s="87">
        <v>75</v>
      </c>
      <c r="I12" s="4">
        <f>I11</f>
        <v>14174</v>
      </c>
      <c r="J12" s="56">
        <f>J11</f>
        <v>19200</v>
      </c>
      <c r="K12" s="85" t="s">
        <v>25</v>
      </c>
      <c r="O12" t="str">
        <f t="shared" si="14"/>
        <v>KKF Ø 5 x 50</v>
      </c>
      <c r="R12" s="254" t="str">
        <f>C28</f>
        <v>HBS PLATE EVO Ø 6 x 80</v>
      </c>
      <c r="AG12" t="str">
        <f t="shared" si="4"/>
        <v>LBS Ø 7 x 80</v>
      </c>
      <c r="AH12" s="2">
        <f t="shared" si="5"/>
        <v>7</v>
      </c>
      <c r="AI12" s="2">
        <f t="shared" si="6"/>
        <v>4.4000000000000004</v>
      </c>
      <c r="AJ12" s="2">
        <f t="shared" si="7"/>
        <v>11</v>
      </c>
      <c r="AK12" s="2">
        <f t="shared" si="8"/>
        <v>80</v>
      </c>
      <c r="AL12" s="2">
        <f t="shared" si="9"/>
        <v>75</v>
      </c>
      <c r="AM12" s="2">
        <v>11.7</v>
      </c>
      <c r="AN12" s="2">
        <v>350</v>
      </c>
      <c r="AO12" s="2">
        <f t="shared" si="10"/>
        <v>15.4</v>
      </c>
      <c r="AP12" s="2">
        <f t="shared" si="11"/>
        <v>14.2</v>
      </c>
      <c r="AS12" s="14" t="s">
        <v>25</v>
      </c>
      <c r="AT12">
        <v>100</v>
      </c>
    </row>
    <row r="13" spans="2:46" ht="24.95" customHeight="1" thickBot="1" x14ac:dyDescent="0.25">
      <c r="B13" s="20" t="s">
        <v>26</v>
      </c>
      <c r="C13" s="27" t="str">
        <f t="shared" si="0"/>
        <v>LBS Ø 7 x 100</v>
      </c>
      <c r="D13" s="83" t="s">
        <v>18</v>
      </c>
      <c r="E13" s="84">
        <v>7</v>
      </c>
      <c r="F13" s="84" t="s">
        <v>19</v>
      </c>
      <c r="G13" s="89">
        <v>100</v>
      </c>
      <c r="H13" s="87">
        <v>95</v>
      </c>
      <c r="I13" s="21">
        <f>I12</f>
        <v>14174</v>
      </c>
      <c r="J13" s="61">
        <f>J12</f>
        <v>19200</v>
      </c>
      <c r="K13" s="85" t="s">
        <v>26</v>
      </c>
      <c r="O13" t="str">
        <f t="shared" si="14"/>
        <v>KKF Ø 5 x 60</v>
      </c>
      <c r="R13" t="str">
        <f>C29</f>
        <v>HBS PLATE EVO Ø 6 x 90</v>
      </c>
      <c r="V13" t="s">
        <v>1270</v>
      </c>
      <c r="X13" t="s">
        <v>1270</v>
      </c>
      <c r="AG13" s="217" t="str">
        <f t="shared" si="4"/>
        <v>LBS Ø 7 x 100</v>
      </c>
      <c r="AH13" s="218">
        <f t="shared" si="5"/>
        <v>7</v>
      </c>
      <c r="AI13" s="218">
        <f>IF(AH13=5,3,4.4)</f>
        <v>4.4000000000000004</v>
      </c>
      <c r="AJ13" s="218">
        <f t="shared" si="7"/>
        <v>11</v>
      </c>
      <c r="AK13" s="218">
        <f t="shared" si="8"/>
        <v>100</v>
      </c>
      <c r="AL13" s="218">
        <f t="shared" si="9"/>
        <v>95</v>
      </c>
      <c r="AM13" s="218">
        <v>11.7</v>
      </c>
      <c r="AN13" s="218">
        <v>350</v>
      </c>
      <c r="AO13" s="218">
        <f t="shared" si="10"/>
        <v>15.4</v>
      </c>
      <c r="AP13" s="218">
        <f t="shared" si="11"/>
        <v>14.2</v>
      </c>
      <c r="AS13" s="20" t="s">
        <v>26</v>
      </c>
      <c r="AT13">
        <v>100</v>
      </c>
    </row>
    <row r="14" spans="2:46" ht="24.95" customHeight="1" thickBot="1" x14ac:dyDescent="0.25">
      <c r="B14" s="10" t="s">
        <v>27</v>
      </c>
      <c r="C14" s="26" t="str">
        <f t="shared" si="0"/>
        <v>KKF Ø 5 x 40</v>
      </c>
      <c r="D14" s="12" t="s">
        <v>28</v>
      </c>
      <c r="E14" s="13">
        <v>5</v>
      </c>
      <c r="F14" s="13" t="s">
        <v>19</v>
      </c>
      <c r="G14" s="13">
        <v>40</v>
      </c>
      <c r="H14" s="11">
        <v>24</v>
      </c>
      <c r="I14" s="22">
        <v>5417.2</v>
      </c>
      <c r="J14" s="62">
        <v>7900</v>
      </c>
      <c r="K14" s="85" t="s">
        <v>27</v>
      </c>
      <c r="O14" t="str">
        <f t="shared" si="14"/>
        <v>KKF Ø 5 x 70</v>
      </c>
      <c r="R14" s="254" t="s">
        <v>1273</v>
      </c>
      <c r="V14" t="s">
        <v>145</v>
      </c>
      <c r="X14" t="s">
        <v>1271</v>
      </c>
      <c r="AG14" t="str">
        <f t="shared" si="4"/>
        <v>KKF Ø 5 x 40</v>
      </c>
      <c r="AH14" s="2">
        <f t="shared" si="5"/>
        <v>5</v>
      </c>
      <c r="AI14" s="2">
        <f>IF(AH14=5,3.25,4.05)</f>
        <v>3.25</v>
      </c>
      <c r="AJ14" s="2">
        <f>IF(AH14=5,9.65,11.65)</f>
        <v>9.65</v>
      </c>
      <c r="AK14" s="2">
        <f t="shared" si="8"/>
        <v>40</v>
      </c>
      <c r="AL14" s="2">
        <f t="shared" si="9"/>
        <v>24</v>
      </c>
      <c r="AM14" s="2">
        <v>11.7</v>
      </c>
      <c r="AN14" s="2">
        <v>350</v>
      </c>
      <c r="AO14" s="2">
        <f>IF(AH14=5,7.9,11.3)</f>
        <v>7.9</v>
      </c>
      <c r="AP14" s="2">
        <f>IF(AH14=5,4.5,8.2)</f>
        <v>4.5</v>
      </c>
      <c r="AS14" s="10" t="s">
        <v>27</v>
      </c>
      <c r="AT14">
        <v>200</v>
      </c>
    </row>
    <row r="15" spans="2:46" ht="24.95" customHeight="1" x14ac:dyDescent="0.2">
      <c r="B15" s="14" t="s">
        <v>29</v>
      </c>
      <c r="C15" s="24" t="str">
        <f t="shared" si="0"/>
        <v>KKF Ø 5 x 50</v>
      </c>
      <c r="D15" s="5" t="s">
        <v>28</v>
      </c>
      <c r="E15" s="6">
        <v>5</v>
      </c>
      <c r="F15" s="6" t="s">
        <v>19</v>
      </c>
      <c r="G15" s="6">
        <v>50</v>
      </c>
      <c r="H15" s="4">
        <v>30</v>
      </c>
      <c r="I15" s="21">
        <f t="shared" si="12"/>
        <v>5417.2</v>
      </c>
      <c r="J15" s="61">
        <f t="shared" si="12"/>
        <v>7900</v>
      </c>
      <c r="K15" s="85" t="s">
        <v>29</v>
      </c>
      <c r="O15" t="str">
        <f t="shared" si="14"/>
        <v>KKF Ø 5 x 80</v>
      </c>
      <c r="R15" t="s">
        <v>1274</v>
      </c>
      <c r="X15" t="s">
        <v>1272</v>
      </c>
      <c r="AG15" t="str">
        <f t="shared" si="4"/>
        <v>KKF Ø 5 x 50</v>
      </c>
      <c r="AH15" s="2">
        <f t="shared" si="5"/>
        <v>5</v>
      </c>
      <c r="AI15" s="2">
        <f t="shared" ref="AI15:AI23" si="15">IF(AH15=5,3.25,4.05)</f>
        <v>3.25</v>
      </c>
      <c r="AJ15" s="2">
        <f t="shared" ref="AJ15:AJ23" si="16">IF(AH15=5,9.65,11.65)</f>
        <v>9.65</v>
      </c>
      <c r="AK15" s="2">
        <f t="shared" si="8"/>
        <v>50</v>
      </c>
      <c r="AL15" s="2">
        <f t="shared" si="9"/>
        <v>30</v>
      </c>
      <c r="AM15" s="2">
        <v>11.7</v>
      </c>
      <c r="AN15" s="2">
        <v>350</v>
      </c>
      <c r="AO15" s="2">
        <f t="shared" ref="AO15:AO29" si="17">IF(AH15=5,7.9,11.3)</f>
        <v>7.9</v>
      </c>
      <c r="AP15" s="2">
        <f t="shared" ref="AP15:AP23" si="18">IF(AH15=5,4.5,8.2)</f>
        <v>4.5</v>
      </c>
      <c r="AS15" s="14" t="s">
        <v>29</v>
      </c>
      <c r="AT15">
        <v>200</v>
      </c>
    </row>
    <row r="16" spans="2:46" ht="24.95" customHeight="1" x14ac:dyDescent="0.2">
      <c r="B16" s="14" t="s">
        <v>30</v>
      </c>
      <c r="C16" s="24" t="str">
        <f t="shared" si="0"/>
        <v>KKF Ø 5 x 60</v>
      </c>
      <c r="D16" s="5" t="s">
        <v>28</v>
      </c>
      <c r="E16" s="6">
        <v>5</v>
      </c>
      <c r="F16" s="6" t="s">
        <v>19</v>
      </c>
      <c r="G16" s="6">
        <v>60</v>
      </c>
      <c r="H16" s="4">
        <v>35</v>
      </c>
      <c r="I16" s="21">
        <f t="shared" si="12"/>
        <v>5417.2</v>
      </c>
      <c r="J16" s="61">
        <f t="shared" si="12"/>
        <v>7900</v>
      </c>
      <c r="K16" s="85" t="s">
        <v>30</v>
      </c>
      <c r="O16" t="str">
        <f t="shared" si="14"/>
        <v>KKF Ø 5 x 90</v>
      </c>
      <c r="R16" t="s">
        <v>4</v>
      </c>
      <c r="X16" t="s">
        <v>145</v>
      </c>
      <c r="AA16" t="str" cm="1">
        <f t="array" ref="AA16:AA19">IF($AC$83&lt;130,IF('LOCK-T'!H45=3,Screws!V13:V14,Screws!$V$6:$V$9),IF('LOCK-T'!H45=3,Screws!X13:X16,Screws!$X$6:$X$11))</f>
        <v>LBS Ø 5 x 25</v>
      </c>
      <c r="AG16" t="str">
        <f t="shared" si="4"/>
        <v>KKF Ø 5 x 60</v>
      </c>
      <c r="AH16" s="2">
        <f t="shared" si="5"/>
        <v>5</v>
      </c>
      <c r="AI16" s="2">
        <f t="shared" si="15"/>
        <v>3.25</v>
      </c>
      <c r="AJ16" s="2">
        <f t="shared" si="16"/>
        <v>9.65</v>
      </c>
      <c r="AK16" s="2">
        <f t="shared" si="8"/>
        <v>60</v>
      </c>
      <c r="AL16" s="2">
        <f t="shared" si="9"/>
        <v>35</v>
      </c>
      <c r="AM16" s="2">
        <v>11.7</v>
      </c>
      <c r="AN16" s="2">
        <v>350</v>
      </c>
      <c r="AO16" s="2">
        <f t="shared" si="17"/>
        <v>7.9</v>
      </c>
      <c r="AP16" s="2">
        <f t="shared" si="18"/>
        <v>4.5</v>
      </c>
      <c r="AS16" s="14" t="s">
        <v>30</v>
      </c>
      <c r="AT16">
        <v>200</v>
      </c>
    </row>
    <row r="17" spans="2:46" ht="24.95" customHeight="1" thickBot="1" x14ac:dyDescent="0.25">
      <c r="B17" s="14" t="s">
        <v>31</v>
      </c>
      <c r="C17" s="24" t="str">
        <f t="shared" si="0"/>
        <v>KKF Ø 5 x 70</v>
      </c>
      <c r="D17" s="5" t="s">
        <v>28</v>
      </c>
      <c r="E17" s="6">
        <v>5</v>
      </c>
      <c r="F17" s="6" t="s">
        <v>19</v>
      </c>
      <c r="G17" s="6">
        <v>70</v>
      </c>
      <c r="H17" s="4">
        <v>40</v>
      </c>
      <c r="I17" s="21">
        <f t="shared" si="12"/>
        <v>5417.2</v>
      </c>
      <c r="J17" s="61">
        <f t="shared" si="12"/>
        <v>7900</v>
      </c>
      <c r="K17" s="85" t="s">
        <v>31</v>
      </c>
      <c r="O17" t="str">
        <f t="shared" si="14"/>
        <v>KKF Ø 5 x 100</v>
      </c>
      <c r="AA17" t="str">
        <v>LBS Ø 5 x 40</v>
      </c>
      <c r="AG17" t="str">
        <f t="shared" si="4"/>
        <v>KKF Ø 5 x 70</v>
      </c>
      <c r="AH17" s="2">
        <f t="shared" si="5"/>
        <v>5</v>
      </c>
      <c r="AI17" s="2">
        <f t="shared" si="15"/>
        <v>3.25</v>
      </c>
      <c r="AJ17" s="2">
        <f t="shared" si="16"/>
        <v>9.65</v>
      </c>
      <c r="AK17" s="2">
        <f t="shared" si="8"/>
        <v>70</v>
      </c>
      <c r="AL17" s="2">
        <f t="shared" si="9"/>
        <v>40</v>
      </c>
      <c r="AM17" s="2">
        <v>11.7</v>
      </c>
      <c r="AN17" s="2">
        <v>350</v>
      </c>
      <c r="AO17" s="2">
        <f t="shared" si="17"/>
        <v>7.9</v>
      </c>
      <c r="AP17" s="2">
        <f t="shared" si="18"/>
        <v>4.5</v>
      </c>
      <c r="AS17" s="14" t="s">
        <v>31</v>
      </c>
      <c r="AT17">
        <v>100</v>
      </c>
    </row>
    <row r="18" spans="2:46" ht="24.95" customHeight="1" thickBot="1" x14ac:dyDescent="0.25">
      <c r="B18" s="14" t="s">
        <v>32</v>
      </c>
      <c r="C18" s="24" t="str">
        <f t="shared" si="0"/>
        <v>KKF Ø 5 x 80</v>
      </c>
      <c r="D18" s="8" t="s">
        <v>28</v>
      </c>
      <c r="E18" s="9">
        <v>5</v>
      </c>
      <c r="F18" s="9" t="s">
        <v>19</v>
      </c>
      <c r="G18" s="9">
        <v>80</v>
      </c>
      <c r="H18" s="4">
        <v>50</v>
      </c>
      <c r="I18" s="21">
        <f t="shared" si="12"/>
        <v>5417.2</v>
      </c>
      <c r="J18" s="61">
        <f t="shared" si="12"/>
        <v>7900</v>
      </c>
      <c r="K18" s="85" t="s">
        <v>32</v>
      </c>
      <c r="O18" s="254" t="str">
        <f>C24</f>
        <v>HBS PLATE EVO Ø 5 x 50</v>
      </c>
      <c r="AA18" t="str">
        <v>LBS Ø 5 x 50</v>
      </c>
      <c r="AG18" t="str">
        <f t="shared" si="4"/>
        <v>KKF Ø 5 x 80</v>
      </c>
      <c r="AH18" s="2">
        <f t="shared" si="5"/>
        <v>5</v>
      </c>
      <c r="AI18" s="2">
        <f t="shared" si="15"/>
        <v>3.25</v>
      </c>
      <c r="AJ18" s="2">
        <f t="shared" si="16"/>
        <v>9.65</v>
      </c>
      <c r="AK18" s="2">
        <f t="shared" si="8"/>
        <v>80</v>
      </c>
      <c r="AL18" s="2">
        <f t="shared" si="9"/>
        <v>50</v>
      </c>
      <c r="AM18" s="2">
        <v>11.7</v>
      </c>
      <c r="AN18" s="2">
        <v>350</v>
      </c>
      <c r="AO18" s="2">
        <f t="shared" si="17"/>
        <v>7.9</v>
      </c>
      <c r="AP18" s="2">
        <f t="shared" si="18"/>
        <v>4.5</v>
      </c>
      <c r="AS18" s="14" t="s">
        <v>32</v>
      </c>
      <c r="AT18">
        <v>100</v>
      </c>
    </row>
    <row r="19" spans="2:46" ht="24.95" customHeight="1" x14ac:dyDescent="0.2">
      <c r="B19" s="14" t="s">
        <v>33</v>
      </c>
      <c r="C19" s="24" t="str">
        <f t="shared" si="0"/>
        <v>KKF Ø 5 x 90</v>
      </c>
      <c r="D19" s="5" t="s">
        <v>28</v>
      </c>
      <c r="E19" s="6">
        <v>5</v>
      </c>
      <c r="F19" s="6" t="s">
        <v>19</v>
      </c>
      <c r="G19" s="6">
        <v>90</v>
      </c>
      <c r="H19" s="4">
        <v>55</v>
      </c>
      <c r="I19" s="21">
        <f t="shared" si="12"/>
        <v>5417.2</v>
      </c>
      <c r="J19" s="61">
        <f t="shared" si="12"/>
        <v>7900</v>
      </c>
      <c r="K19" s="85" t="s">
        <v>33</v>
      </c>
      <c r="O19" t="str">
        <f>C25</f>
        <v>HBS PLATE EVO Ø 5 x 60</v>
      </c>
      <c r="AA19" t="str">
        <v>NO</v>
      </c>
      <c r="AG19" t="str">
        <f t="shared" si="4"/>
        <v>KKF Ø 5 x 90</v>
      </c>
      <c r="AH19" s="2">
        <f t="shared" si="5"/>
        <v>5</v>
      </c>
      <c r="AI19" s="2">
        <f t="shared" si="15"/>
        <v>3.25</v>
      </c>
      <c r="AJ19" s="2">
        <f t="shared" si="16"/>
        <v>9.65</v>
      </c>
      <c r="AK19" s="2">
        <f t="shared" si="8"/>
        <v>90</v>
      </c>
      <c r="AL19" s="2">
        <f t="shared" si="9"/>
        <v>55</v>
      </c>
      <c r="AM19" s="2">
        <v>11.7</v>
      </c>
      <c r="AN19" s="2">
        <v>350</v>
      </c>
      <c r="AO19" s="2">
        <f t="shared" si="17"/>
        <v>7.9</v>
      </c>
      <c r="AP19" s="2">
        <f t="shared" si="18"/>
        <v>4.5</v>
      </c>
      <c r="AS19" s="14" t="s">
        <v>33</v>
      </c>
      <c r="AT19">
        <v>100</v>
      </c>
    </row>
    <row r="20" spans="2:46" ht="24.95" customHeight="1" thickBot="1" x14ac:dyDescent="0.25">
      <c r="B20" s="15" t="s">
        <v>34</v>
      </c>
      <c r="C20" s="25" t="str">
        <f t="shared" si="0"/>
        <v>KKF Ø 5 x 100</v>
      </c>
      <c r="D20" s="17" t="s">
        <v>28</v>
      </c>
      <c r="E20" s="18">
        <v>5</v>
      </c>
      <c r="F20" s="18" t="s">
        <v>19</v>
      </c>
      <c r="G20" s="18">
        <v>100</v>
      </c>
      <c r="H20" s="16">
        <v>60</v>
      </c>
      <c r="I20" s="16">
        <f t="shared" si="12"/>
        <v>5417.2</v>
      </c>
      <c r="J20" s="57">
        <f t="shared" si="12"/>
        <v>7900</v>
      </c>
      <c r="K20" s="85" t="s">
        <v>34</v>
      </c>
      <c r="O20" t="str">
        <f>C26</f>
        <v>HBS PLATE EVO Ø 5 x 70</v>
      </c>
      <c r="AG20" s="217" t="str">
        <f t="shared" si="4"/>
        <v>KKF Ø 5 x 100</v>
      </c>
      <c r="AH20" s="218">
        <f t="shared" si="5"/>
        <v>5</v>
      </c>
      <c r="AI20" s="218">
        <f t="shared" si="15"/>
        <v>3.25</v>
      </c>
      <c r="AJ20" s="218">
        <f t="shared" si="16"/>
        <v>9.65</v>
      </c>
      <c r="AK20" s="218">
        <f t="shared" si="8"/>
        <v>100</v>
      </c>
      <c r="AL20" s="218">
        <f t="shared" si="9"/>
        <v>60</v>
      </c>
      <c r="AM20" s="218">
        <v>11.7</v>
      </c>
      <c r="AN20" s="218">
        <v>350</v>
      </c>
      <c r="AO20" s="218">
        <f t="shared" si="17"/>
        <v>7.9</v>
      </c>
      <c r="AP20" s="218">
        <f t="shared" si="18"/>
        <v>4.5</v>
      </c>
      <c r="AS20" s="15" t="s">
        <v>34</v>
      </c>
      <c r="AT20">
        <v>100</v>
      </c>
    </row>
    <row r="21" spans="2:46" ht="24.95" customHeight="1" thickBot="1" x14ac:dyDescent="0.25">
      <c r="B21" s="10" t="s">
        <v>35</v>
      </c>
      <c r="C21" s="26" t="str">
        <f t="shared" si="0"/>
        <v>KKF Ø 6 x 80</v>
      </c>
      <c r="D21" s="12" t="s">
        <v>28</v>
      </c>
      <c r="E21" s="13">
        <v>6</v>
      </c>
      <c r="F21" s="13" t="s">
        <v>19</v>
      </c>
      <c r="G21" s="13">
        <v>80</v>
      </c>
      <c r="H21" s="11">
        <v>50</v>
      </c>
      <c r="I21" s="11">
        <v>9493.7000000000007</v>
      </c>
      <c r="J21" s="55">
        <v>11300</v>
      </c>
      <c r="K21" s="85" t="s">
        <v>35</v>
      </c>
      <c r="O21" t="str">
        <f>C27</f>
        <v>HBS PLATE EVO Ø 5 x 80</v>
      </c>
      <c r="AG21" t="str">
        <f t="shared" si="4"/>
        <v>KKF Ø 6 x 80</v>
      </c>
      <c r="AH21" s="2">
        <f t="shared" si="5"/>
        <v>6</v>
      </c>
      <c r="AI21" s="2">
        <f t="shared" si="15"/>
        <v>4.05</v>
      </c>
      <c r="AJ21" s="2">
        <f t="shared" si="16"/>
        <v>11.65</v>
      </c>
      <c r="AK21" s="2">
        <f t="shared" si="8"/>
        <v>80</v>
      </c>
      <c r="AL21" s="2">
        <f t="shared" si="9"/>
        <v>50</v>
      </c>
      <c r="AM21" s="2">
        <v>11.7</v>
      </c>
      <c r="AN21" s="2">
        <v>350</v>
      </c>
      <c r="AO21" s="2">
        <f t="shared" si="17"/>
        <v>11.3</v>
      </c>
      <c r="AP21" s="2">
        <f t="shared" si="18"/>
        <v>8.1999999999999993</v>
      </c>
      <c r="AS21" s="10" t="s">
        <v>35</v>
      </c>
      <c r="AT21">
        <v>100</v>
      </c>
    </row>
    <row r="22" spans="2:46" ht="24.95" customHeight="1" thickBot="1" x14ac:dyDescent="0.25">
      <c r="B22" s="14" t="s">
        <v>36</v>
      </c>
      <c r="C22" s="24" t="str">
        <f t="shared" si="0"/>
        <v>KKF Ø 6 x 100</v>
      </c>
      <c r="D22" s="5" t="s">
        <v>28</v>
      </c>
      <c r="E22" s="6">
        <v>6</v>
      </c>
      <c r="F22" s="6" t="s">
        <v>19</v>
      </c>
      <c r="G22" s="6">
        <v>100</v>
      </c>
      <c r="H22" s="4">
        <v>60</v>
      </c>
      <c r="I22" s="4">
        <f t="shared" si="12"/>
        <v>9493.7000000000007</v>
      </c>
      <c r="J22" s="56">
        <f t="shared" si="12"/>
        <v>11300</v>
      </c>
      <c r="K22" s="85" t="s">
        <v>36</v>
      </c>
      <c r="O22" s="254" t="s">
        <v>1270</v>
      </c>
      <c r="AG22" t="str">
        <f t="shared" si="4"/>
        <v>KKF Ø 6 x 100</v>
      </c>
      <c r="AH22" s="2">
        <f t="shared" si="5"/>
        <v>6</v>
      </c>
      <c r="AI22" s="2">
        <f t="shared" si="15"/>
        <v>4.05</v>
      </c>
      <c r="AJ22" s="2">
        <f t="shared" si="16"/>
        <v>11.65</v>
      </c>
      <c r="AK22" s="2">
        <f t="shared" si="8"/>
        <v>100</v>
      </c>
      <c r="AL22" s="2">
        <f t="shared" si="9"/>
        <v>60</v>
      </c>
      <c r="AM22" s="2">
        <v>11.7</v>
      </c>
      <c r="AN22" s="2">
        <v>350</v>
      </c>
      <c r="AO22" s="2">
        <f t="shared" si="17"/>
        <v>11.3</v>
      </c>
      <c r="AP22" s="2">
        <f t="shared" si="18"/>
        <v>8.1999999999999993</v>
      </c>
      <c r="AS22" s="14" t="s">
        <v>36</v>
      </c>
      <c r="AT22">
        <v>100</v>
      </c>
    </row>
    <row r="23" spans="2:46" ht="24.95" customHeight="1" thickBot="1" x14ac:dyDescent="0.25">
      <c r="B23" s="15" t="s">
        <v>37</v>
      </c>
      <c r="C23" s="25" t="str">
        <f t="shared" si="0"/>
        <v>KKF Ø 6 x 120</v>
      </c>
      <c r="D23" s="17" t="s">
        <v>28</v>
      </c>
      <c r="E23" s="18">
        <v>6</v>
      </c>
      <c r="F23" s="18" t="s">
        <v>19</v>
      </c>
      <c r="G23" s="18">
        <v>120</v>
      </c>
      <c r="H23" s="16">
        <v>75</v>
      </c>
      <c r="I23" s="16">
        <f t="shared" si="12"/>
        <v>9493.7000000000007</v>
      </c>
      <c r="J23" s="57">
        <f t="shared" si="12"/>
        <v>11300</v>
      </c>
      <c r="K23" s="85" t="s">
        <v>37</v>
      </c>
      <c r="O23" t="s">
        <v>1271</v>
      </c>
      <c r="AG23" s="217" t="str">
        <f t="shared" si="4"/>
        <v>KKF Ø 6 x 120</v>
      </c>
      <c r="AH23" s="218">
        <f t="shared" si="5"/>
        <v>6</v>
      </c>
      <c r="AI23" s="218">
        <f t="shared" si="15"/>
        <v>4.05</v>
      </c>
      <c r="AJ23" s="218">
        <f t="shared" si="16"/>
        <v>11.65</v>
      </c>
      <c r="AK23" s="218">
        <f t="shared" si="8"/>
        <v>120</v>
      </c>
      <c r="AL23" s="218">
        <f t="shared" si="9"/>
        <v>75</v>
      </c>
      <c r="AM23" s="218">
        <v>11.7</v>
      </c>
      <c r="AN23" s="218">
        <v>350</v>
      </c>
      <c r="AO23" s="218">
        <f t="shared" si="17"/>
        <v>11.3</v>
      </c>
      <c r="AP23" s="218">
        <f t="shared" si="18"/>
        <v>8.1999999999999993</v>
      </c>
      <c r="AS23" s="15" t="s">
        <v>37</v>
      </c>
      <c r="AT23">
        <v>100</v>
      </c>
    </row>
    <row r="24" spans="2:46" ht="24.95" customHeight="1" x14ac:dyDescent="0.2">
      <c r="B24" s="10" t="s">
        <v>38</v>
      </c>
      <c r="C24" s="26" t="str">
        <f t="shared" ref="C24:C27" si="19">D24&amp;" Ø "&amp;E24&amp;" x "&amp;G24</f>
        <v>HBS PLATE EVO Ø 5 x 50</v>
      </c>
      <c r="D24" s="12" t="s">
        <v>39</v>
      </c>
      <c r="E24" s="13">
        <v>5</v>
      </c>
      <c r="F24" s="13" t="s">
        <v>19</v>
      </c>
      <c r="G24" s="13">
        <v>50</v>
      </c>
      <c r="H24" s="11">
        <v>30</v>
      </c>
      <c r="I24" s="11">
        <v>5417.2</v>
      </c>
      <c r="J24" s="55">
        <v>7900</v>
      </c>
      <c r="K24" t="s">
        <v>38</v>
      </c>
      <c r="O24" t="s">
        <v>1272</v>
      </c>
      <c r="AG24" t="str">
        <f t="shared" si="4"/>
        <v>HBS PLATE EVO Ø 5 x 50</v>
      </c>
      <c r="AH24" s="2">
        <f t="shared" si="5"/>
        <v>5</v>
      </c>
      <c r="AI24" s="2">
        <f>IF(AH24=5,3.4,3.95)</f>
        <v>3.4</v>
      </c>
      <c r="AJ24" s="2">
        <f>IF(AH24=5,9.65,12)</f>
        <v>9.65</v>
      </c>
      <c r="AK24" s="2">
        <f t="shared" si="8"/>
        <v>50</v>
      </c>
      <c r="AL24" s="2">
        <f t="shared" si="9"/>
        <v>30</v>
      </c>
      <c r="AM24" s="2">
        <v>11.7</v>
      </c>
      <c r="AN24" s="2">
        <v>350</v>
      </c>
      <c r="AO24" s="2">
        <f t="shared" si="17"/>
        <v>7.9</v>
      </c>
      <c r="AP24" s="2">
        <f>IF(AH24=5,5.4,9.5)</f>
        <v>5.4</v>
      </c>
      <c r="AS24" s="10" t="s">
        <v>38</v>
      </c>
      <c r="AT24">
        <v>200</v>
      </c>
    </row>
    <row r="25" spans="2:46" ht="24.95" customHeight="1" thickBot="1" x14ac:dyDescent="0.25">
      <c r="B25" s="14" t="s">
        <v>40</v>
      </c>
      <c r="C25" s="24" t="str">
        <f t="shared" si="19"/>
        <v>HBS PLATE EVO Ø 5 x 60</v>
      </c>
      <c r="D25" s="5" t="s">
        <v>39</v>
      </c>
      <c r="E25" s="6">
        <v>5</v>
      </c>
      <c r="F25" s="6" t="s">
        <v>19</v>
      </c>
      <c r="G25" s="6">
        <v>60</v>
      </c>
      <c r="H25" s="4">
        <v>35</v>
      </c>
      <c r="I25" s="4">
        <f>I24</f>
        <v>5417.2</v>
      </c>
      <c r="J25" s="56">
        <f>J24</f>
        <v>7900</v>
      </c>
      <c r="K25" t="s">
        <v>40</v>
      </c>
      <c r="O25" t="s">
        <v>4</v>
      </c>
      <c r="AG25" t="str">
        <f t="shared" si="4"/>
        <v>HBS PLATE EVO Ø 5 x 60</v>
      </c>
      <c r="AH25" s="2">
        <f t="shared" si="5"/>
        <v>5</v>
      </c>
      <c r="AI25" s="2">
        <f t="shared" ref="AI25:AI29" si="20">IF(AH25=5,3.4,3.95)</f>
        <v>3.4</v>
      </c>
      <c r="AJ25" s="2">
        <f t="shared" ref="AJ25:AJ29" si="21">IF(AH25=5,9.65,12)</f>
        <v>9.65</v>
      </c>
      <c r="AK25" s="2">
        <f t="shared" si="8"/>
        <v>60</v>
      </c>
      <c r="AL25" s="2">
        <f t="shared" si="9"/>
        <v>35</v>
      </c>
      <c r="AM25" s="2">
        <v>11.7</v>
      </c>
      <c r="AN25" s="2">
        <v>350</v>
      </c>
      <c r="AO25" s="2">
        <f t="shared" si="17"/>
        <v>7.9</v>
      </c>
      <c r="AP25" s="2">
        <f t="shared" ref="AP25:AP29" si="22">IF(AH25=5,5.4,9.5)</f>
        <v>5.4</v>
      </c>
      <c r="AS25" s="14" t="s">
        <v>40</v>
      </c>
      <c r="AT25">
        <v>200</v>
      </c>
    </row>
    <row r="26" spans="2:46" ht="24.95" customHeight="1" thickBot="1" x14ac:dyDescent="0.25">
      <c r="B26" s="14" t="s">
        <v>41</v>
      </c>
      <c r="C26" s="24" t="str">
        <f t="shared" si="19"/>
        <v>HBS PLATE EVO Ø 5 x 70</v>
      </c>
      <c r="D26" s="5" t="s">
        <v>39</v>
      </c>
      <c r="E26" s="6">
        <v>5</v>
      </c>
      <c r="F26" s="6" t="s">
        <v>19</v>
      </c>
      <c r="G26" s="6">
        <v>70</v>
      </c>
      <c r="H26" s="4">
        <v>40</v>
      </c>
      <c r="I26" s="4">
        <f t="shared" ref="I26:I27" si="23">I25</f>
        <v>5417.2</v>
      </c>
      <c r="J26" s="56">
        <f t="shared" ref="J26:J27" si="24">J25</f>
        <v>7900</v>
      </c>
      <c r="K26" t="s">
        <v>41</v>
      </c>
      <c r="N26" s="245"/>
      <c r="O26" s="246"/>
      <c r="P26" s="246"/>
      <c r="Q26" s="246"/>
      <c r="R26" s="246"/>
      <c r="S26" s="246"/>
      <c r="T26" s="246"/>
      <c r="U26" s="246"/>
      <c r="V26" s="246"/>
      <c r="W26" s="246"/>
      <c r="X26" s="247"/>
      <c r="AG26" t="str">
        <f t="shared" si="4"/>
        <v>HBS PLATE EVO Ø 5 x 70</v>
      </c>
      <c r="AH26" s="2">
        <f t="shared" si="5"/>
        <v>5</v>
      </c>
      <c r="AI26" s="2">
        <f t="shared" si="20"/>
        <v>3.4</v>
      </c>
      <c r="AJ26" s="2">
        <f t="shared" si="21"/>
        <v>9.65</v>
      </c>
      <c r="AK26" s="2">
        <f t="shared" si="8"/>
        <v>70</v>
      </c>
      <c r="AL26" s="2">
        <f t="shared" si="9"/>
        <v>40</v>
      </c>
      <c r="AM26" s="2">
        <v>11.7</v>
      </c>
      <c r="AN26" s="2">
        <v>350</v>
      </c>
      <c r="AO26" s="2">
        <f t="shared" si="17"/>
        <v>7.9</v>
      </c>
      <c r="AP26" s="2">
        <f t="shared" si="22"/>
        <v>5.4</v>
      </c>
      <c r="AS26" s="14" t="s">
        <v>41</v>
      </c>
      <c r="AT26">
        <v>100</v>
      </c>
    </row>
    <row r="27" spans="2:46" ht="24.95" customHeight="1" thickBot="1" x14ac:dyDescent="0.25">
      <c r="B27" s="15" t="s">
        <v>42</v>
      </c>
      <c r="C27" s="25" t="str">
        <f t="shared" si="19"/>
        <v>HBS PLATE EVO Ø 5 x 80</v>
      </c>
      <c r="D27" s="17" t="s">
        <v>39</v>
      </c>
      <c r="E27" s="18">
        <v>5</v>
      </c>
      <c r="F27" s="18" t="s">
        <v>19</v>
      </c>
      <c r="G27" s="18">
        <v>80</v>
      </c>
      <c r="H27" s="16">
        <v>50</v>
      </c>
      <c r="I27" s="16">
        <f t="shared" si="23"/>
        <v>5417.2</v>
      </c>
      <c r="J27" s="57">
        <f t="shared" si="24"/>
        <v>7900</v>
      </c>
      <c r="K27" s="85" t="s">
        <v>42</v>
      </c>
      <c r="N27" s="248"/>
      <c r="O27" s="254" t="str">
        <f>VLOOKUP('LOCK-T'!H111,Screws!C6:D34,2,FALSE)</f>
        <v>LBS</v>
      </c>
      <c r="V27" t="s">
        <v>381</v>
      </c>
      <c r="X27" s="249"/>
      <c r="AG27" s="217" t="str">
        <f t="shared" si="4"/>
        <v>HBS PLATE EVO Ø 5 x 80</v>
      </c>
      <c r="AH27" s="218">
        <f t="shared" si="5"/>
        <v>5</v>
      </c>
      <c r="AI27" s="218">
        <f t="shared" si="20"/>
        <v>3.4</v>
      </c>
      <c r="AJ27" s="218">
        <f t="shared" si="21"/>
        <v>9.65</v>
      </c>
      <c r="AK27" s="218">
        <f t="shared" si="8"/>
        <v>80</v>
      </c>
      <c r="AL27" s="218">
        <f t="shared" si="9"/>
        <v>50</v>
      </c>
      <c r="AM27" s="218">
        <v>11.7</v>
      </c>
      <c r="AN27" s="218">
        <v>350</v>
      </c>
      <c r="AO27" s="218">
        <f t="shared" si="17"/>
        <v>7.9</v>
      </c>
      <c r="AP27" s="218">
        <f t="shared" si="22"/>
        <v>5.4</v>
      </c>
      <c r="AS27" s="15" t="s">
        <v>42</v>
      </c>
      <c r="AT27">
        <v>100</v>
      </c>
    </row>
    <row r="28" spans="2:46" ht="24.95" customHeight="1" x14ac:dyDescent="0.2">
      <c r="B28" s="14" t="s">
        <v>43</v>
      </c>
      <c r="C28" s="24" t="str">
        <f t="shared" ref="C28:C34" si="25">D28&amp;" Ø "&amp;E28&amp;" x "&amp;G28</f>
        <v>HBS PLATE EVO Ø 6 x 80</v>
      </c>
      <c r="D28" s="5" t="s">
        <v>39</v>
      </c>
      <c r="E28" s="6">
        <v>6</v>
      </c>
      <c r="F28" s="6" t="s">
        <v>19</v>
      </c>
      <c r="G28" s="6">
        <v>80</v>
      </c>
      <c r="H28" s="4">
        <v>50</v>
      </c>
      <c r="I28" s="4">
        <v>9493.7000000000007</v>
      </c>
      <c r="J28" s="56">
        <v>11300</v>
      </c>
      <c r="K28" s="85" t="s">
        <v>43</v>
      </c>
      <c r="N28" s="248"/>
      <c r="O28" t="str">
        <f>IF($O$27="LBS",O6,IF($O$27="KKF",O11,IF($O$27="HBS PLATE EVO",O18,IF($O$27="LBS EVO",O22," "))))</f>
        <v>LBS Ø 5 x 25</v>
      </c>
      <c r="R28" t="str">
        <f>IF($O$27="LBS",R6,IF($O$27="KKF",R9,IF($O$27="HBS PLATE EVO",R12,IF($O$27="LBS EVO",R14," "))))</f>
        <v>LBS Ø 7 x 60</v>
      </c>
      <c r="V28" t="str">
        <f>IF('LOCK-T'!$H$114&lt;6,Screws!O28,Screws!R28)</f>
        <v>LBS Ø 7 x 60</v>
      </c>
      <c r="X28" s="249"/>
      <c r="AG28" t="str">
        <f t="shared" si="4"/>
        <v>HBS PLATE EVO Ø 6 x 80</v>
      </c>
      <c r="AH28" s="2">
        <f t="shared" si="5"/>
        <v>6</v>
      </c>
      <c r="AI28" s="2">
        <f t="shared" si="20"/>
        <v>3.95</v>
      </c>
      <c r="AJ28" s="2">
        <f t="shared" si="21"/>
        <v>12</v>
      </c>
      <c r="AK28" s="2">
        <f t="shared" si="8"/>
        <v>80</v>
      </c>
      <c r="AL28" s="2">
        <f t="shared" si="9"/>
        <v>50</v>
      </c>
      <c r="AM28" s="2">
        <v>11.7</v>
      </c>
      <c r="AN28" s="2">
        <v>350</v>
      </c>
      <c r="AO28" s="2">
        <f t="shared" si="17"/>
        <v>11.3</v>
      </c>
      <c r="AP28" s="2">
        <f t="shared" si="22"/>
        <v>9.5</v>
      </c>
      <c r="AS28" s="14" t="s">
        <v>43</v>
      </c>
      <c r="AT28">
        <v>100</v>
      </c>
    </row>
    <row r="29" spans="2:46" ht="24.95" customHeight="1" thickBot="1" x14ac:dyDescent="0.25">
      <c r="B29" s="15" t="s">
        <v>44</v>
      </c>
      <c r="C29" s="25" t="str">
        <f t="shared" si="25"/>
        <v>HBS PLATE EVO Ø 6 x 90</v>
      </c>
      <c r="D29" s="17" t="s">
        <v>39</v>
      </c>
      <c r="E29" s="18">
        <v>6</v>
      </c>
      <c r="F29" s="18" t="s">
        <v>19</v>
      </c>
      <c r="G29" s="18">
        <v>90</v>
      </c>
      <c r="H29" s="16">
        <v>55</v>
      </c>
      <c r="I29" s="16">
        <f>I28</f>
        <v>9493.7000000000007</v>
      </c>
      <c r="J29" s="57">
        <f>J28</f>
        <v>11300</v>
      </c>
      <c r="K29" s="85" t="s">
        <v>44</v>
      </c>
      <c r="N29" s="248"/>
      <c r="O29" t="str">
        <f>IF(O27="LBS",O7,IF(O27="KKF",O12,IF(O27="HBS PLATE EVO",O19,IF($O$27="LBS EVO",O23," "))))</f>
        <v>LBS Ø 5 x 40</v>
      </c>
      <c r="R29" t="str">
        <f>IF($O$27="LBS",R7,IF($O$27="KKF",R10,IF($O$27="HBS PLATE EVO",R13,IF($O$27="LBS EVO",R15," "))))</f>
        <v>LBS Ø 7 x 80</v>
      </c>
      <c r="V29" t="str">
        <f>IF('LOCK-T'!$H$114&lt;6,Screws!O29,Screws!R29)</f>
        <v>LBS Ø 7 x 80</v>
      </c>
      <c r="X29" s="249"/>
      <c r="AG29" t="str">
        <f t="shared" si="4"/>
        <v>HBS PLATE EVO Ø 6 x 90</v>
      </c>
      <c r="AH29" s="2">
        <f t="shared" si="5"/>
        <v>6</v>
      </c>
      <c r="AI29" s="2">
        <f t="shared" si="20"/>
        <v>3.95</v>
      </c>
      <c r="AJ29" s="2">
        <f t="shared" si="21"/>
        <v>12</v>
      </c>
      <c r="AK29" s="2">
        <f t="shared" si="8"/>
        <v>90</v>
      </c>
      <c r="AL29" s="2">
        <f t="shared" si="9"/>
        <v>55</v>
      </c>
      <c r="AM29" s="2">
        <v>11.7</v>
      </c>
      <c r="AN29" s="2">
        <v>350</v>
      </c>
      <c r="AO29" s="2">
        <f t="shared" si="17"/>
        <v>11.3</v>
      </c>
      <c r="AP29" s="2">
        <f t="shared" si="22"/>
        <v>9.5</v>
      </c>
      <c r="AS29" s="15" t="s">
        <v>44</v>
      </c>
      <c r="AT29">
        <v>100</v>
      </c>
    </row>
    <row r="30" spans="2:46" ht="24.95" customHeight="1" x14ac:dyDescent="0.2">
      <c r="B30" s="10" t="s">
        <v>1265</v>
      </c>
      <c r="C30" s="26" t="str">
        <f t="shared" si="25"/>
        <v>LBS EVO Ø 5 x 50</v>
      </c>
      <c r="D30" s="12" t="s">
        <v>1264</v>
      </c>
      <c r="E30" s="13">
        <v>5</v>
      </c>
      <c r="F30" s="13" t="s">
        <v>19</v>
      </c>
      <c r="G30" s="13">
        <v>50</v>
      </c>
      <c r="H30" s="11">
        <v>46</v>
      </c>
      <c r="I30" s="11">
        <v>5417.2</v>
      </c>
      <c r="J30" s="55">
        <v>7900</v>
      </c>
      <c r="K30" s="85" t="s">
        <v>1265</v>
      </c>
      <c r="N30" s="248"/>
      <c r="O30" t="str">
        <f>IF(O27="LBS",O8,IF(O27="KKF",O13,IF(O27="HBS PLATE EVO",O20,IF($O$27="LBS EVO",O24," "))))</f>
        <v>LBS Ø 5 x 50</v>
      </c>
      <c r="R30" t="str">
        <f>IF($O$27="LBS",R8,IF($O$27="KKF",R11,IF($O$27="HBS PLATE EVO",R16,IF($O$27="LBS EVO",R16," "))))</f>
        <v>LBS Ø 7 x 100</v>
      </c>
      <c r="V30" t="str">
        <f>IF('LOCK-T'!$H$114&lt;6,Screws!O30,Screws!R30)</f>
        <v>LBS Ø 7 x 100</v>
      </c>
      <c r="X30" s="249"/>
      <c r="AG30" t="s">
        <v>1270</v>
      </c>
      <c r="AH30" s="2">
        <v>5</v>
      </c>
      <c r="AI30" s="2">
        <v>3</v>
      </c>
      <c r="AJ30" s="2">
        <v>7.8</v>
      </c>
      <c r="AK30" s="2">
        <v>50</v>
      </c>
      <c r="AL30" s="2">
        <v>46</v>
      </c>
      <c r="AM30" s="2">
        <v>11.7</v>
      </c>
      <c r="AN30" s="2">
        <v>350</v>
      </c>
      <c r="AO30" s="2">
        <v>7.9</v>
      </c>
      <c r="AP30" s="2">
        <v>5.4</v>
      </c>
      <c r="AS30" s="14" t="s">
        <v>1265</v>
      </c>
      <c r="AT30">
        <v>200</v>
      </c>
    </row>
    <row r="31" spans="2:46" ht="24.95" customHeight="1" x14ac:dyDescent="0.2">
      <c r="B31" s="14" t="s">
        <v>1266</v>
      </c>
      <c r="C31" s="24" t="str">
        <f t="shared" si="25"/>
        <v>LBS EVO Ø 5 x 60</v>
      </c>
      <c r="D31" s="5" t="s">
        <v>1264</v>
      </c>
      <c r="E31" s="6">
        <v>5</v>
      </c>
      <c r="F31" s="6" t="s">
        <v>19</v>
      </c>
      <c r="G31" s="6">
        <v>60</v>
      </c>
      <c r="H31" s="4">
        <v>56</v>
      </c>
      <c r="I31" s="4">
        <f>I30</f>
        <v>5417.2</v>
      </c>
      <c r="J31" s="56">
        <f>J30</f>
        <v>7900</v>
      </c>
      <c r="K31" s="85" t="s">
        <v>1266</v>
      </c>
      <c r="N31" s="248"/>
      <c r="O31" t="str">
        <f>IF(O27="LBS",O9,IF(O27="KKF",O14,IF(O27="HBS PLATE EVO",O21,IF($O$27="LBS EVO",O25," "))))</f>
        <v>LBS Ø 5 x 60</v>
      </c>
      <c r="R31" t="s">
        <v>4</v>
      </c>
      <c r="V31" t="str">
        <f>IF('LOCK-T'!$H$114&lt;6,Screws!O31,Screws!R31)</f>
        <v>-</v>
      </c>
      <c r="X31" s="249"/>
      <c r="AG31" t="s">
        <v>1271</v>
      </c>
      <c r="AH31" s="2">
        <v>5</v>
      </c>
      <c r="AI31" s="2">
        <v>3</v>
      </c>
      <c r="AJ31" s="2">
        <v>7.8</v>
      </c>
      <c r="AK31" s="2">
        <v>60</v>
      </c>
      <c r="AL31" s="2">
        <v>56</v>
      </c>
      <c r="AM31" s="2">
        <v>11.7</v>
      </c>
      <c r="AN31" s="2">
        <v>350</v>
      </c>
      <c r="AO31" s="2">
        <v>7.9</v>
      </c>
      <c r="AP31" s="2">
        <v>5.4</v>
      </c>
      <c r="AS31" s="14" t="s">
        <v>1266</v>
      </c>
      <c r="AT31">
        <v>200</v>
      </c>
    </row>
    <row r="32" spans="2:46" ht="24.95" customHeight="1" thickBot="1" x14ac:dyDescent="0.25">
      <c r="B32" s="15" t="s">
        <v>1267</v>
      </c>
      <c r="C32" s="25" t="str">
        <f t="shared" si="25"/>
        <v>LBS EVO Ø 5 x 70</v>
      </c>
      <c r="D32" s="17" t="s">
        <v>1264</v>
      </c>
      <c r="E32" s="18">
        <v>5</v>
      </c>
      <c r="F32" s="18" t="s">
        <v>19</v>
      </c>
      <c r="G32" s="18">
        <v>70</v>
      </c>
      <c r="H32" s="35">
        <v>66</v>
      </c>
      <c r="I32" s="16">
        <f>I31</f>
        <v>5417.2</v>
      </c>
      <c r="J32" s="57">
        <f>J31</f>
        <v>7900</v>
      </c>
      <c r="K32" s="85" t="s">
        <v>1267</v>
      </c>
      <c r="N32" s="248"/>
      <c r="O32" t="str">
        <f>IF(O27="LBS",O10,IF(O27="KKF",O15,IF(O27="HBS PLATE EVO",O25,IF($O$27="LBS EVO",O25," "))))</f>
        <v>LBS Ø 5 x 70</v>
      </c>
      <c r="R32" t="s">
        <v>4</v>
      </c>
      <c r="V32" t="str">
        <f>IF('LOCK-T'!$H$114&lt;6,Screws!O32,Screws!R32)</f>
        <v>-</v>
      </c>
      <c r="X32" s="249"/>
      <c r="AG32" s="217" t="s">
        <v>1272</v>
      </c>
      <c r="AH32" s="218">
        <v>5</v>
      </c>
      <c r="AI32" s="218">
        <v>3</v>
      </c>
      <c r="AJ32" s="218">
        <v>7.8</v>
      </c>
      <c r="AK32" s="218">
        <v>70</v>
      </c>
      <c r="AL32" s="218">
        <v>66</v>
      </c>
      <c r="AM32" s="218">
        <v>11.7</v>
      </c>
      <c r="AN32" s="218">
        <v>350</v>
      </c>
      <c r="AO32" s="218">
        <v>7.9</v>
      </c>
      <c r="AP32" s="218">
        <v>5.4</v>
      </c>
      <c r="AS32" s="15" t="s">
        <v>1267</v>
      </c>
      <c r="AT32">
        <v>200</v>
      </c>
    </row>
    <row r="33" spans="2:46" ht="24.95" customHeight="1" x14ac:dyDescent="0.2">
      <c r="B33" s="19" t="s">
        <v>1268</v>
      </c>
      <c r="C33" s="23" t="str">
        <f t="shared" si="25"/>
        <v>LBS EVO Ø 7 x 80</v>
      </c>
      <c r="D33" s="8" t="s">
        <v>1264</v>
      </c>
      <c r="E33" s="9">
        <v>7</v>
      </c>
      <c r="F33" s="9" t="s">
        <v>19</v>
      </c>
      <c r="G33" s="9">
        <v>80</v>
      </c>
      <c r="H33" s="7">
        <v>75</v>
      </c>
      <c r="I33" s="7">
        <v>14174</v>
      </c>
      <c r="J33" s="60">
        <v>19200</v>
      </c>
      <c r="K33" s="85" t="s">
        <v>1268</v>
      </c>
      <c r="N33" s="248"/>
      <c r="O33" t="str">
        <f>IF(O27="LBS",O25,IF(O27="KKF",O16,IF(O27="HBS PLATE EVO",O25,IF($O$27="LBS EVO",O25," "))))</f>
        <v>-</v>
      </c>
      <c r="R33" t="s">
        <v>4</v>
      </c>
      <c r="V33" t="str">
        <f>IF('LOCK-T'!$H$114&lt;6,Screws!O33,Screws!R33)</f>
        <v>-</v>
      </c>
      <c r="X33" s="249"/>
      <c r="AG33" t="s">
        <v>1273</v>
      </c>
      <c r="AH33" s="2">
        <f t="shared" ref="AH33:AH34" si="26">E33</f>
        <v>7</v>
      </c>
      <c r="AI33" s="2">
        <f t="shared" ref="AI33" si="27">IF(AH33=5,3,4.4)</f>
        <v>4.4000000000000004</v>
      </c>
      <c r="AJ33" s="2">
        <f t="shared" ref="AJ33:AJ34" si="28">IF(AH33=5,7.8,11)</f>
        <v>11</v>
      </c>
      <c r="AK33" s="2">
        <f t="shared" ref="AK33:AK34" si="29">G33</f>
        <v>80</v>
      </c>
      <c r="AL33" s="2">
        <f t="shared" ref="AL33:AL34" si="30">H33</f>
        <v>75</v>
      </c>
      <c r="AM33" s="2">
        <v>11.7</v>
      </c>
      <c r="AN33" s="2">
        <v>350</v>
      </c>
      <c r="AO33" s="2">
        <f t="shared" ref="AO33:AO34" si="31">IF(AH33=5,7.9,15.4)</f>
        <v>15.4</v>
      </c>
      <c r="AP33" s="2">
        <f t="shared" ref="AP33:AP34" si="32">IF(AH33=5,5.4,14.2)</f>
        <v>14.2</v>
      </c>
      <c r="AS33" s="14" t="s">
        <v>1268</v>
      </c>
      <c r="AT33">
        <v>100</v>
      </c>
    </row>
    <row r="34" spans="2:46" ht="24.95" customHeight="1" thickBot="1" x14ac:dyDescent="0.25">
      <c r="B34" s="15" t="s">
        <v>1269</v>
      </c>
      <c r="C34" s="25" t="str">
        <f t="shared" si="25"/>
        <v>LBS EVO Ø 7 x 100</v>
      </c>
      <c r="D34" s="17" t="s">
        <v>1264</v>
      </c>
      <c r="E34" s="18">
        <v>7</v>
      </c>
      <c r="F34" s="18" t="s">
        <v>19</v>
      </c>
      <c r="G34" s="18">
        <v>100</v>
      </c>
      <c r="H34" s="16">
        <v>95</v>
      </c>
      <c r="I34" s="16">
        <f>I33</f>
        <v>14174</v>
      </c>
      <c r="J34" s="57">
        <f>J33</f>
        <v>19200</v>
      </c>
      <c r="K34" s="85" t="s">
        <v>1269</v>
      </c>
      <c r="N34" s="248"/>
      <c r="O34" t="str">
        <f>IF(O27="LBS",O25,IF(O27="KKF",O17,IF(O27="HBS PLATE EVO",O25,IF($O$27="LBS EVO",O25," "))))</f>
        <v>-</v>
      </c>
      <c r="R34" t="s">
        <v>4</v>
      </c>
      <c r="V34" t="str">
        <f>IF('LOCK-T'!$H$114&lt;6,Screws!O34,Screws!R34)</f>
        <v>-</v>
      </c>
      <c r="X34" s="249"/>
      <c r="AG34" s="217" t="s">
        <v>1274</v>
      </c>
      <c r="AH34" s="218">
        <f t="shared" si="26"/>
        <v>7</v>
      </c>
      <c r="AI34" s="218">
        <f>IF(AH34=5,3,4.4)</f>
        <v>4.4000000000000004</v>
      </c>
      <c r="AJ34" s="218">
        <f t="shared" si="28"/>
        <v>11</v>
      </c>
      <c r="AK34" s="218">
        <f t="shared" si="29"/>
        <v>100</v>
      </c>
      <c r="AL34" s="218">
        <f t="shared" si="30"/>
        <v>95</v>
      </c>
      <c r="AM34" s="218">
        <v>11.7</v>
      </c>
      <c r="AN34" s="218">
        <v>350</v>
      </c>
      <c r="AO34" s="218">
        <f t="shared" si="31"/>
        <v>15.4</v>
      </c>
      <c r="AP34" s="218">
        <f t="shared" si="32"/>
        <v>14.2</v>
      </c>
      <c r="AS34" s="20" t="s">
        <v>1269</v>
      </c>
      <c r="AT34">
        <v>100</v>
      </c>
    </row>
    <row r="35" spans="2:46" ht="24.95" hidden="1" customHeight="1" thickBot="1" x14ac:dyDescent="0.25">
      <c r="C35" t="s">
        <v>145</v>
      </c>
      <c r="K35" s="85"/>
      <c r="N35" s="250"/>
      <c r="O35" s="251"/>
      <c r="P35" s="251"/>
      <c r="Q35" s="251"/>
      <c r="R35" s="251"/>
      <c r="S35" s="251"/>
      <c r="T35" s="251"/>
      <c r="U35" s="251"/>
      <c r="V35" s="251"/>
      <c r="W35" s="251"/>
      <c r="X35" s="252"/>
    </row>
    <row r="36" spans="2:46" ht="24.95" hidden="1" customHeight="1" x14ac:dyDescent="0.2">
      <c r="K36" s="85"/>
      <c r="O36" t="str">
        <f>IF(O33="LBS",O14,IF(O33="KKF",O19,IF(O33="HBS PLATE EVO",O26," ")))</f>
        <v xml:space="preserve"> </v>
      </c>
    </row>
    <row r="37" spans="2:46" ht="24.95" hidden="1" customHeight="1" x14ac:dyDescent="0.2">
      <c r="C37" t="s">
        <v>145</v>
      </c>
      <c r="K37" s="85"/>
      <c r="O37" t="str">
        <f t="shared" ref="O37:O81" si="33">IF(O34="LBS",O15,IF(O34="KKF",O20,IF(O34="HBS PLATE EVO",O27," ")))</f>
        <v xml:space="preserve"> </v>
      </c>
    </row>
    <row r="38" spans="2:46" ht="24.95" hidden="1" customHeight="1" x14ac:dyDescent="0.2">
      <c r="K38" s="85"/>
      <c r="O38" t="str">
        <f t="shared" si="33"/>
        <v xml:space="preserve"> </v>
      </c>
    </row>
    <row r="39" spans="2:46" ht="24.95" hidden="1" customHeight="1" x14ac:dyDescent="0.2">
      <c r="K39" s="85"/>
      <c r="O39" t="str">
        <f t="shared" si="33"/>
        <v xml:space="preserve"> </v>
      </c>
    </row>
    <row r="40" spans="2:46" ht="24.95" hidden="1" customHeight="1" x14ac:dyDescent="0.2">
      <c r="K40" s="85"/>
      <c r="O40" t="str">
        <f t="shared" si="33"/>
        <v xml:space="preserve"> </v>
      </c>
    </row>
    <row r="41" spans="2:46" ht="24.95" hidden="1" customHeight="1" x14ac:dyDescent="0.2">
      <c r="K41" s="85"/>
      <c r="O41" t="str">
        <f t="shared" si="33"/>
        <v xml:space="preserve"> </v>
      </c>
    </row>
    <row r="42" spans="2:46" ht="24.95" hidden="1" customHeight="1" x14ac:dyDescent="0.2">
      <c r="K42" s="85"/>
      <c r="O42" t="str">
        <f>IF(O39="LBS",O20,IF(O39="KKF",O25,IF(O39="HBS PLATE EVO",O32," ")))</f>
        <v xml:space="preserve"> </v>
      </c>
    </row>
    <row r="43" spans="2:46" ht="24.95" hidden="1" customHeight="1" x14ac:dyDescent="0.2">
      <c r="K43" s="85"/>
      <c r="O43" t="str">
        <f>IF(O40="LBS",O21,IF(O40="KKF",O26,IF(O40="HBS PLATE EVO",O33," ")))</f>
        <v xml:space="preserve"> </v>
      </c>
    </row>
    <row r="44" spans="2:46" ht="24.95" hidden="1" customHeight="1" x14ac:dyDescent="0.2">
      <c r="K44" s="85"/>
      <c r="O44" t="str">
        <f t="shared" si="33"/>
        <v xml:space="preserve"> </v>
      </c>
    </row>
    <row r="45" spans="2:46" ht="24.95" hidden="1" customHeight="1" x14ac:dyDescent="0.2">
      <c r="K45" s="85"/>
      <c r="O45" t="str">
        <f t="shared" si="33"/>
        <v xml:space="preserve"> </v>
      </c>
    </row>
    <row r="46" spans="2:46" ht="24.95" hidden="1" customHeight="1" x14ac:dyDescent="0.2">
      <c r="K46" s="85"/>
      <c r="O46" t="str">
        <f t="shared" si="33"/>
        <v xml:space="preserve"> </v>
      </c>
    </row>
    <row r="47" spans="2:46" ht="24.95" hidden="1" customHeight="1" x14ac:dyDescent="0.2">
      <c r="K47" s="85"/>
      <c r="O47" t="str">
        <f>IF(O44="LBS",O25,IF(O44="KKF",O30,IF(O44="HBS PLATE EVO",O37," ")))</f>
        <v xml:space="preserve"> </v>
      </c>
    </row>
    <row r="48" spans="2:46" ht="24.95" hidden="1" customHeight="1" x14ac:dyDescent="0.2">
      <c r="K48" s="85"/>
      <c r="O48" t="str">
        <f>IF(O45="LBS",O26,IF(O45="KKF",O31,IF(O45="HBS PLATE EVO",O38," ")))</f>
        <v xml:space="preserve"> </v>
      </c>
    </row>
    <row r="49" spans="11:15" ht="24.95" hidden="1" customHeight="1" x14ac:dyDescent="0.2">
      <c r="K49" s="85"/>
      <c r="O49" t="str">
        <f t="shared" si="33"/>
        <v xml:space="preserve"> </v>
      </c>
    </row>
    <row r="50" spans="11:15" ht="24.95" customHeight="1" x14ac:dyDescent="0.2">
      <c r="K50" s="85"/>
      <c r="O50" t="str">
        <f t="shared" si="33"/>
        <v xml:space="preserve"> </v>
      </c>
    </row>
    <row r="51" spans="11:15" ht="24.95" customHeight="1" x14ac:dyDescent="0.2">
      <c r="K51" s="85"/>
      <c r="O51" t="str">
        <f t="shared" si="33"/>
        <v xml:space="preserve"> </v>
      </c>
    </row>
    <row r="52" spans="11:15" ht="24.95" customHeight="1" x14ac:dyDescent="0.2">
      <c r="K52" s="85"/>
      <c r="O52" t="str">
        <f t="shared" si="33"/>
        <v xml:space="preserve"> </v>
      </c>
    </row>
    <row r="53" spans="11:15" ht="24.95" customHeight="1" x14ac:dyDescent="0.2">
      <c r="K53" s="85"/>
      <c r="O53" t="str">
        <f t="shared" si="33"/>
        <v xml:space="preserve"> </v>
      </c>
    </row>
    <row r="54" spans="11:15" ht="24.95" customHeight="1" x14ac:dyDescent="0.2">
      <c r="K54" s="85"/>
      <c r="O54" t="str">
        <f t="shared" si="33"/>
        <v xml:space="preserve"> </v>
      </c>
    </row>
    <row r="55" spans="11:15" ht="24.95" customHeight="1" x14ac:dyDescent="0.2">
      <c r="K55" s="85"/>
      <c r="O55" t="str">
        <f t="shared" si="33"/>
        <v xml:space="preserve"> </v>
      </c>
    </row>
    <row r="56" spans="11:15" ht="24.95" customHeight="1" x14ac:dyDescent="0.2">
      <c r="K56" s="85"/>
      <c r="O56" t="str">
        <f t="shared" si="33"/>
        <v xml:space="preserve"> </v>
      </c>
    </row>
    <row r="57" spans="11:15" ht="24.95" customHeight="1" x14ac:dyDescent="0.2">
      <c r="K57" s="85"/>
      <c r="O57" t="str">
        <f t="shared" si="33"/>
        <v xml:space="preserve"> </v>
      </c>
    </row>
    <row r="58" spans="11:15" ht="24.95" customHeight="1" x14ac:dyDescent="0.2">
      <c r="K58" s="85"/>
      <c r="O58" t="str">
        <f t="shared" si="33"/>
        <v xml:space="preserve"> </v>
      </c>
    </row>
    <row r="59" spans="11:15" ht="24.95" customHeight="1" x14ac:dyDescent="0.2">
      <c r="K59" s="85"/>
      <c r="O59" t="str">
        <f t="shared" si="33"/>
        <v xml:space="preserve"> </v>
      </c>
    </row>
    <row r="60" spans="11:15" ht="24.95" customHeight="1" x14ac:dyDescent="0.2">
      <c r="K60" s="85"/>
      <c r="O60" t="str">
        <f t="shared" si="33"/>
        <v xml:space="preserve"> </v>
      </c>
    </row>
    <row r="61" spans="11:15" ht="24.95" customHeight="1" x14ac:dyDescent="0.2">
      <c r="K61" s="85"/>
      <c r="O61" t="str">
        <f t="shared" si="33"/>
        <v xml:space="preserve"> </v>
      </c>
    </row>
    <row r="62" spans="11:15" ht="24.95" customHeight="1" x14ac:dyDescent="0.2">
      <c r="K62" s="85"/>
      <c r="O62" t="str">
        <f t="shared" si="33"/>
        <v xml:space="preserve"> </v>
      </c>
    </row>
    <row r="63" spans="11:15" ht="24.95" customHeight="1" x14ac:dyDescent="0.2">
      <c r="K63" s="85"/>
      <c r="O63" t="str">
        <f t="shared" si="33"/>
        <v xml:space="preserve"> </v>
      </c>
    </row>
    <row r="64" spans="11:15" ht="24.95" customHeight="1" x14ac:dyDescent="0.2">
      <c r="K64" s="85"/>
      <c r="O64" t="str">
        <f t="shared" si="33"/>
        <v xml:space="preserve"> </v>
      </c>
    </row>
    <row r="65" spans="11:15" ht="24.95" customHeight="1" x14ac:dyDescent="0.2">
      <c r="K65" s="85"/>
      <c r="O65" t="str">
        <f t="shared" si="33"/>
        <v xml:space="preserve"> </v>
      </c>
    </row>
    <row r="66" spans="11:15" ht="24.95" customHeight="1" x14ac:dyDescent="0.2">
      <c r="K66" s="85"/>
      <c r="O66" t="str">
        <f t="shared" si="33"/>
        <v xml:space="preserve"> </v>
      </c>
    </row>
    <row r="67" spans="11:15" ht="24.95" customHeight="1" x14ac:dyDescent="0.2">
      <c r="K67" s="85"/>
      <c r="O67" t="str">
        <f t="shared" si="33"/>
        <v xml:space="preserve"> </v>
      </c>
    </row>
    <row r="68" spans="11:15" ht="24.95" customHeight="1" x14ac:dyDescent="0.2">
      <c r="K68" s="85"/>
      <c r="O68" t="str">
        <f t="shared" si="33"/>
        <v xml:space="preserve"> </v>
      </c>
    </row>
    <row r="69" spans="11:15" ht="24.95" customHeight="1" x14ac:dyDescent="0.2">
      <c r="K69" s="85"/>
      <c r="O69" t="str">
        <f t="shared" si="33"/>
        <v xml:space="preserve"> </v>
      </c>
    </row>
    <row r="70" spans="11:15" ht="24.95" customHeight="1" x14ac:dyDescent="0.2">
      <c r="K70" s="85"/>
      <c r="O70" t="str">
        <f t="shared" si="33"/>
        <v xml:space="preserve"> </v>
      </c>
    </row>
    <row r="71" spans="11:15" ht="24.95" customHeight="1" x14ac:dyDescent="0.2">
      <c r="K71" s="85"/>
      <c r="O71" t="str">
        <f t="shared" si="33"/>
        <v xml:space="preserve"> </v>
      </c>
    </row>
    <row r="72" spans="11:15" ht="24.95" customHeight="1" x14ac:dyDescent="0.2">
      <c r="K72" s="85"/>
      <c r="O72" t="str">
        <f t="shared" si="33"/>
        <v xml:space="preserve"> </v>
      </c>
    </row>
    <row r="73" spans="11:15" ht="24.95" customHeight="1" x14ac:dyDescent="0.2">
      <c r="K73" s="85"/>
      <c r="O73" t="str">
        <f t="shared" si="33"/>
        <v xml:space="preserve"> </v>
      </c>
    </row>
    <row r="74" spans="11:15" ht="24.95" customHeight="1" x14ac:dyDescent="0.2">
      <c r="K74" s="85"/>
      <c r="O74" t="str">
        <f t="shared" si="33"/>
        <v xml:space="preserve"> </v>
      </c>
    </row>
    <row r="75" spans="11:15" ht="24.95" customHeight="1" x14ac:dyDescent="0.2">
      <c r="K75" s="85"/>
      <c r="O75" t="str">
        <f t="shared" si="33"/>
        <v xml:space="preserve"> </v>
      </c>
    </row>
    <row r="76" spans="11:15" ht="24.95" customHeight="1" x14ac:dyDescent="0.2">
      <c r="K76" s="85"/>
      <c r="O76" t="str">
        <f t="shared" si="33"/>
        <v xml:space="preserve"> </v>
      </c>
    </row>
    <row r="77" spans="11:15" ht="24.95" customHeight="1" x14ac:dyDescent="0.2">
      <c r="K77" s="85"/>
      <c r="O77" t="str">
        <f t="shared" si="33"/>
        <v xml:space="preserve"> </v>
      </c>
    </row>
    <row r="78" spans="11:15" ht="24.95" customHeight="1" x14ac:dyDescent="0.2">
      <c r="K78" s="85"/>
      <c r="O78" t="str">
        <f t="shared" si="33"/>
        <v xml:space="preserve"> </v>
      </c>
    </row>
    <row r="79" spans="11:15" ht="24.95" customHeight="1" x14ac:dyDescent="0.2">
      <c r="K79" s="85"/>
      <c r="O79" t="str">
        <f t="shared" si="33"/>
        <v xml:space="preserve"> </v>
      </c>
    </row>
    <row r="80" spans="11:15" ht="24.95" customHeight="1" x14ac:dyDescent="0.2">
      <c r="K80" s="85"/>
      <c r="O80" t="str">
        <f t="shared" si="33"/>
        <v xml:space="preserve"> </v>
      </c>
    </row>
    <row r="81" spans="11:15" ht="24.95" customHeight="1" x14ac:dyDescent="0.2">
      <c r="K81" s="85"/>
      <c r="O81" t="str">
        <f t="shared" si="33"/>
        <v xml:space="preserve"> </v>
      </c>
    </row>
  </sheetData>
  <sheetProtection algorithmName="SHA-512" hashValue="ZA3LqlZi57f57j5GGgvh2J0DPjkwKASYV4lxma8oiRazRmw4ZAPFGSMlKJlsGWJej8OPMbENJGWPlLohz78L9w==" saltValue="bIAgUethCU9jBPo1c/XyRw==" spinCount="100000" sheet="1" objects="1" scenarios="1" selectLockedCells="1"/>
  <mergeCells count="2">
    <mergeCell ref="B3:J3"/>
    <mergeCell ref="B4:D5"/>
  </mergeCells>
  <phoneticPr fontId="14" type="noConversion"/>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
    <tabColor theme="4" tint="0.79998168889431442"/>
  </sheetPr>
  <dimension ref="B1:EC155"/>
  <sheetViews>
    <sheetView showRowColHeaders="0" view="pageBreakPreview" zoomScale="85" zoomScaleNormal="55" zoomScaleSheetLayoutView="85" workbookViewId="0">
      <selection activeCell="C36" sqref="C36"/>
    </sheetView>
  </sheetViews>
  <sheetFormatPr defaultRowHeight="12.75" x14ac:dyDescent="0.2"/>
  <cols>
    <col min="1" max="1" width="2.875" customWidth="1"/>
    <col min="2" max="2" width="16.75" bestFit="1" customWidth="1"/>
    <col min="4" max="6" width="9" style="76"/>
    <col min="7" max="7" width="11.125" style="76" bestFit="1" customWidth="1"/>
    <col min="8" max="8" width="14" bestFit="1" customWidth="1"/>
    <col min="9" max="9" width="20.625" hidden="1" customWidth="1"/>
    <col min="10" max="20" width="12.625" hidden="1" customWidth="1"/>
    <col min="21" max="21" width="16.375" hidden="1" customWidth="1"/>
    <col min="22" max="22" width="12.625" hidden="1" customWidth="1"/>
    <col min="23" max="23" width="14.875" hidden="1" customWidth="1"/>
    <col min="24" max="25" width="9" hidden="1" customWidth="1"/>
    <col min="26" max="26" width="12.5" hidden="1" customWidth="1"/>
    <col min="27" max="27" width="16" hidden="1" customWidth="1"/>
    <col min="28" max="29" width="9" hidden="1" customWidth="1"/>
    <col min="30" max="30" width="16.625" hidden="1" customWidth="1"/>
    <col min="31" max="34" width="9" hidden="1" customWidth="1"/>
    <col min="35" max="35" width="12.375" hidden="1" customWidth="1"/>
    <col min="36" max="36" width="9" hidden="1" customWidth="1"/>
    <col min="37" max="37" width="17.75" hidden="1" customWidth="1"/>
    <col min="38" max="48" width="9" hidden="1" customWidth="1"/>
    <col min="49" max="49" width="13.5" hidden="1" customWidth="1"/>
    <col min="50" max="52" width="9" hidden="1" customWidth="1"/>
    <col min="53" max="53" width="15.875" hidden="1" customWidth="1"/>
    <col min="54" max="54" width="12.75" hidden="1" customWidth="1"/>
    <col min="55" max="55" width="18.5" hidden="1" customWidth="1"/>
    <col min="56" max="56" width="14.5" hidden="1" customWidth="1"/>
    <col min="57" max="57" width="12.5" hidden="1" customWidth="1"/>
    <col min="58" max="58" width="13.875" hidden="1" customWidth="1"/>
    <col min="59" max="78" width="9" hidden="1" customWidth="1"/>
    <col min="79" max="135" width="9" customWidth="1"/>
  </cols>
  <sheetData>
    <row r="1" spans="2:133" ht="13.5" customHeight="1" thickBot="1" x14ac:dyDescent="0.25">
      <c r="I1" s="2">
        <v>1</v>
      </c>
      <c r="J1">
        <v>2</v>
      </c>
      <c r="K1">
        <v>3</v>
      </c>
      <c r="L1">
        <v>4</v>
      </c>
      <c r="M1">
        <v>5</v>
      </c>
      <c r="N1">
        <v>6</v>
      </c>
      <c r="O1">
        <v>7</v>
      </c>
      <c r="P1">
        <v>8</v>
      </c>
      <c r="Q1">
        <v>9</v>
      </c>
      <c r="R1">
        <v>10</v>
      </c>
      <c r="S1">
        <v>11</v>
      </c>
      <c r="T1">
        <v>12</v>
      </c>
    </row>
    <row r="2" spans="2:133" ht="50.25" customHeight="1" x14ac:dyDescent="0.2">
      <c r="B2" s="421" t="str">
        <f>Translation!B15</f>
        <v>Timber</v>
      </c>
      <c r="C2" s="423" t="s">
        <v>46</v>
      </c>
      <c r="D2" s="290" t="s">
        <v>160</v>
      </c>
      <c r="E2" s="290" t="s">
        <v>161</v>
      </c>
      <c r="F2" s="290" t="s">
        <v>231</v>
      </c>
      <c r="G2" s="290" t="s">
        <v>184</v>
      </c>
      <c r="H2" s="292"/>
      <c r="I2" s="434" t="s">
        <v>47</v>
      </c>
      <c r="J2" s="36" t="s">
        <v>48</v>
      </c>
      <c r="K2" s="37" t="s">
        <v>49</v>
      </c>
      <c r="L2" s="37" t="s">
        <v>157</v>
      </c>
      <c r="M2" s="37" t="s">
        <v>50</v>
      </c>
      <c r="N2" s="37" t="s">
        <v>130</v>
      </c>
      <c r="O2" s="37" t="s">
        <v>51</v>
      </c>
      <c r="P2" s="37" t="s">
        <v>52</v>
      </c>
      <c r="Q2" s="37" t="s">
        <v>53</v>
      </c>
      <c r="R2" s="104" t="s">
        <v>149</v>
      </c>
      <c r="S2" s="104" t="s">
        <v>150</v>
      </c>
      <c r="T2" s="38" t="s">
        <v>131</v>
      </c>
      <c r="U2" s="432" t="s">
        <v>47</v>
      </c>
      <c r="W2" s="79" t="s">
        <v>51</v>
      </c>
      <c r="Y2" s="180"/>
      <c r="Z2" s="180" t="str">
        <f>RIGHT(AA4,2)</f>
        <v>80</v>
      </c>
      <c r="AA2" s="3"/>
      <c r="AB2" s="3" t="s">
        <v>131</v>
      </c>
      <c r="AC2" s="3" t="s">
        <v>132</v>
      </c>
      <c r="AD2" s="432" t="s">
        <v>47</v>
      </c>
      <c r="AE2" s="37" t="s">
        <v>49</v>
      </c>
      <c r="AF2" s="37" t="s">
        <v>220</v>
      </c>
      <c r="AG2" s="37" t="s">
        <v>221</v>
      </c>
      <c r="AH2" s="176" t="s">
        <v>239</v>
      </c>
      <c r="AJ2" s="176" t="s">
        <v>328</v>
      </c>
      <c r="AK2" s="176" t="s">
        <v>327</v>
      </c>
      <c r="AL2" s="176" t="s">
        <v>329</v>
      </c>
      <c r="AM2" s="176" t="s">
        <v>350</v>
      </c>
      <c r="AN2" s="176" t="s">
        <v>342</v>
      </c>
      <c r="AO2" s="176" t="s">
        <v>345</v>
      </c>
      <c r="AP2" s="176" t="s">
        <v>343</v>
      </c>
      <c r="AQ2" s="176" t="s">
        <v>346</v>
      </c>
      <c r="AR2" s="176" t="s">
        <v>347</v>
      </c>
      <c r="AS2" s="176" t="s">
        <v>348</v>
      </c>
      <c r="AT2" s="176" t="s">
        <v>349</v>
      </c>
      <c r="BD2" t="str">
        <f>'LOCK-T'!H97</f>
        <v>LOCK-T 100 290</v>
      </c>
      <c r="BF2" t="s">
        <v>351</v>
      </c>
    </row>
    <row r="3" spans="2:133" ht="23.25" customHeight="1" thickBot="1" x14ac:dyDescent="0.25">
      <c r="B3" s="422"/>
      <c r="C3" s="424"/>
      <c r="D3" s="327" t="s">
        <v>159</v>
      </c>
      <c r="E3" s="327" t="s">
        <v>159</v>
      </c>
      <c r="F3" s="327" t="s">
        <v>159</v>
      </c>
      <c r="G3" s="327" t="s">
        <v>159</v>
      </c>
      <c r="H3" s="293"/>
      <c r="I3" s="435"/>
      <c r="J3" s="40" t="s">
        <v>14</v>
      </c>
      <c r="K3" s="40" t="s">
        <v>14</v>
      </c>
      <c r="L3" s="40" t="s">
        <v>158</v>
      </c>
      <c r="M3" s="40"/>
      <c r="N3" s="40"/>
      <c r="O3" s="40" t="s">
        <v>4</v>
      </c>
      <c r="P3" s="40" t="s">
        <v>4</v>
      </c>
      <c r="Q3" s="40" t="s">
        <v>54</v>
      </c>
      <c r="R3" s="105" t="s">
        <v>54</v>
      </c>
      <c r="S3" s="105" t="s">
        <v>4</v>
      </c>
      <c r="T3" s="122" t="s">
        <v>14</v>
      </c>
      <c r="U3" s="433"/>
      <c r="W3" s="79">
        <v>1</v>
      </c>
      <c r="Y3" s="180" t="str">
        <f>RIGHT(LEFT(AA4,8),2)</f>
        <v xml:space="preserve"> 1</v>
      </c>
      <c r="Z3" s="180" t="str">
        <f>LEFT(AA4,5)</f>
        <v>LOCK-</v>
      </c>
      <c r="AA3" s="3"/>
      <c r="AB3" s="3" t="s">
        <v>14</v>
      </c>
      <c r="AC3" s="3" t="s">
        <v>14</v>
      </c>
      <c r="AD3" s="433"/>
      <c r="AE3" s="3"/>
      <c r="AF3" s="3"/>
      <c r="AH3" t="s">
        <v>14</v>
      </c>
      <c r="BD3">
        <f>IF(BD2=AA4,1,IF(BD2=AA8,1,2))</f>
        <v>2</v>
      </c>
      <c r="BF3" t="s">
        <v>352</v>
      </c>
      <c r="BG3" t="s">
        <v>353</v>
      </c>
      <c r="BK3" t="s">
        <v>510</v>
      </c>
    </row>
    <row r="4" spans="2:133" ht="20.100000000000001" customHeight="1" x14ac:dyDescent="0.2">
      <c r="B4" s="291" t="s">
        <v>55</v>
      </c>
      <c r="C4" s="328">
        <v>340</v>
      </c>
      <c r="D4" s="329">
        <v>20</v>
      </c>
      <c r="E4" s="329">
        <v>2.5</v>
      </c>
      <c r="F4" s="329">
        <v>1.2</v>
      </c>
      <c r="G4" s="329">
        <v>3.5</v>
      </c>
      <c r="H4" s="249" t="s">
        <v>498</v>
      </c>
      <c r="I4" s="283" t="s">
        <v>56</v>
      </c>
      <c r="J4" s="87">
        <v>80</v>
      </c>
      <c r="K4" s="87">
        <v>17.5</v>
      </c>
      <c r="L4" s="87">
        <v>492</v>
      </c>
      <c r="M4" s="87">
        <v>2</v>
      </c>
      <c r="N4" s="87">
        <v>1</v>
      </c>
      <c r="O4" s="87">
        <v>1</v>
      </c>
      <c r="P4" s="87">
        <v>2.19</v>
      </c>
      <c r="Q4" s="87">
        <v>10</v>
      </c>
      <c r="R4" s="121">
        <v>2.7</v>
      </c>
      <c r="S4" s="121">
        <v>0.71</v>
      </c>
      <c r="T4" s="32">
        <v>20</v>
      </c>
      <c r="U4" s="114" t="s">
        <v>56</v>
      </c>
      <c r="W4" s="79">
        <v>2</v>
      </c>
      <c r="Y4" s="191"/>
      <c r="Z4" s="191" t="str">
        <f>CONCATENATE("LOCKT",ROUND(K4,0),J4)</f>
        <v>LOCKT1880</v>
      </c>
      <c r="AA4" s="239" t="str">
        <f>CONCATENATE("LOCK-T"," ",ROUND(AB4,0)," ",AC4)</f>
        <v>LOCK-T 18 80</v>
      </c>
      <c r="AB4" s="3">
        <v>17.5</v>
      </c>
      <c r="AC4" s="3">
        <v>80</v>
      </c>
      <c r="AD4" s="3" t="str">
        <f>VLOOKUP(AC4,$J$4:$U$12,12,FALSE)</f>
        <v>Lock-T 80</v>
      </c>
      <c r="AE4" s="3">
        <f>VLOOKUP(AD4,$I$4:$K$12,3,FALSE)</f>
        <v>17.5</v>
      </c>
      <c r="AF4" s="3">
        <f>AB4/AE4</f>
        <v>1</v>
      </c>
      <c r="AG4">
        <f>VLOOKUP(AD4,$I$4:$M$12,5,FALSE)*AF4</f>
        <v>2</v>
      </c>
      <c r="AH4" s="76">
        <v>7</v>
      </c>
      <c r="AI4" t="s">
        <v>281</v>
      </c>
      <c r="AJ4" t="s">
        <v>325</v>
      </c>
      <c r="AL4" s="228">
        <v>0</v>
      </c>
      <c r="AM4" s="241">
        <v>1</v>
      </c>
      <c r="AV4">
        <v>50</v>
      </c>
      <c r="BA4" t="str">
        <f>CONCATENATE(AM4," x ",AM2)</f>
        <v>1 x LOCKSTOP5U</v>
      </c>
      <c r="BB4" t="s">
        <v>344</v>
      </c>
      <c r="BC4" s="2">
        <v>1</v>
      </c>
      <c r="BD4" t="str">
        <f>IF(BD2=AA4,BA4,IF(BD2=AA5,BA5,IF(BD2=AA6,BA5,IF(BD2=AA7,BA6,IF(BD2=AA8,BA6,IF(BD2=AA9,BA9,IF(BD2=AA10,BA10,BA10)))))))</f>
        <v>4 x LOCKSTOP7</v>
      </c>
      <c r="BF4" t="str">
        <f>IF('LOCK-T'!H103+'LOCK-T'!I103=70,Data!BA5,IF('LOCK-T'!H103+'LOCK-T'!I103=87.5,Data!BA6,IF('LOCK-T'!H103+'LOCK-T'!I103=35,Data!BA5,IF('LOCK-T'!H103+'LOCK-T'!I103&gt;88,Data!BA6,"-"))))</f>
        <v>4 x LOCKSTOP5</v>
      </c>
      <c r="BG4" t="str">
        <f>IF('LOCK-T'!H104&gt;=175,Data!BA10,IF('LOCK-T'!H103+'LOCK-T'!I103=100,Data!BA9,"-"))</f>
        <v>4 x LOCKSTOP7</v>
      </c>
      <c r="BJ4">
        <v>1</v>
      </c>
      <c r="BK4">
        <v>50</v>
      </c>
      <c r="EC4" s="291" t="s">
        <v>55</v>
      </c>
    </row>
    <row r="5" spans="2:133" ht="20.100000000000001" customHeight="1" x14ac:dyDescent="0.2">
      <c r="B5" s="291" t="s">
        <v>57</v>
      </c>
      <c r="C5" s="328">
        <v>370</v>
      </c>
      <c r="D5" s="329">
        <v>22</v>
      </c>
      <c r="E5" s="329">
        <v>2.5</v>
      </c>
      <c r="F5" s="329">
        <v>1.2</v>
      </c>
      <c r="G5" s="329">
        <v>3.5</v>
      </c>
      <c r="H5" s="249" t="s">
        <v>498</v>
      </c>
      <c r="I5" s="284" t="s">
        <v>58</v>
      </c>
      <c r="J5" s="79">
        <v>100</v>
      </c>
      <c r="K5" s="79">
        <v>17.5</v>
      </c>
      <c r="L5" s="79">
        <v>614</v>
      </c>
      <c r="M5" s="79">
        <v>3</v>
      </c>
      <c r="N5" s="79">
        <v>1</v>
      </c>
      <c r="O5" s="79">
        <f>O4</f>
        <v>1</v>
      </c>
      <c r="P5" s="79">
        <v>4.3899999999999997</v>
      </c>
      <c r="Q5" s="79">
        <v>10</v>
      </c>
      <c r="R5" s="106">
        <v>2.9</v>
      </c>
      <c r="S5" s="106">
        <v>0.56999999999999995</v>
      </c>
      <c r="T5" s="33">
        <v>20</v>
      </c>
      <c r="U5" s="1" t="s">
        <v>58</v>
      </c>
      <c r="W5" s="79">
        <v>3</v>
      </c>
      <c r="Y5" s="191"/>
      <c r="Z5" s="191" t="str">
        <f t="shared" ref="Z5:Z24" si="0">CONCATENATE("LOCKT",ROUND(K5,0),J5)</f>
        <v>LOCKT18100</v>
      </c>
      <c r="AA5" s="3" t="str">
        <f t="shared" ref="AA5:AA22" si="1">CONCATENATE("LOCK-T"," ",ROUND(AB5,0)," ",AC5)</f>
        <v>LOCK-T 35 80</v>
      </c>
      <c r="AB5" s="3">
        <v>35</v>
      </c>
      <c r="AC5" s="3">
        <v>80</v>
      </c>
      <c r="AD5" s="3" t="str">
        <f t="shared" ref="AD5:AD22" si="2">VLOOKUP(AC5,$J$4:$U$12,12,FALSE)</f>
        <v>Lock-T 80</v>
      </c>
      <c r="AE5" s="3">
        <f t="shared" ref="AE5:AE22" si="3">VLOOKUP(AD5,$I$4:$K$12,3,FALSE)</f>
        <v>17.5</v>
      </c>
      <c r="AF5" s="3">
        <f t="shared" ref="AF5:AF24" si="4">AB5/AE5</f>
        <v>2</v>
      </c>
      <c r="AG5">
        <f t="shared" ref="AG5:AG22" si="5">VLOOKUP(AD5,$I$4:$M$12,5,FALSE)*AF5</f>
        <v>4</v>
      </c>
      <c r="AH5" s="76">
        <v>7</v>
      </c>
      <c r="AI5" t="s">
        <v>281</v>
      </c>
      <c r="AJ5" t="s">
        <v>325</v>
      </c>
      <c r="AL5" s="228">
        <v>1</v>
      </c>
      <c r="AN5" s="241">
        <v>2</v>
      </c>
      <c r="AO5">
        <v>1</v>
      </c>
      <c r="AV5">
        <v>50</v>
      </c>
      <c r="BA5" t="str">
        <f>CONCATENATE(AN5," x ",AN2)</f>
        <v>2 x LOCKSTOP5</v>
      </c>
      <c r="BB5" t="s">
        <v>342</v>
      </c>
      <c r="BC5" s="2">
        <v>1</v>
      </c>
      <c r="BD5" t="str">
        <f>IF(BD2=AA5,BA7,IF(BD2=AA6,BA7,IF(BD2=AA7,BA8,IF(BD2=AA9,BA11,IF(BD2=AA10,BA12,IF(BD2=AA11,BA13,IF(BD2=AA12,BA13,IF(BD2=AA13,BA14,IF(BD2=AA14,BA13,IF(BD2=AA15,BA14,IF(BD2=AA16,BA15,IF(BD2=AA17,BA13,IF(BD2=AA18,BA14,IF(BD2=AA19,BA15,IF(BD2=AA20,BA13,IF(BD2=AA21,BA14,IF(BD2=AA22,BA15,"-")))))))))))))))))</f>
        <v>2 x LOCKSTOP100</v>
      </c>
      <c r="BG5" t="str">
        <f>IF('LOCK-T'!H103+'LOCK-T'!I103=100,BA16,IF('LOCK-T'!H103+'LOCK-T'!I103=125,BA15,"-"))</f>
        <v>-</v>
      </c>
      <c r="BJ5">
        <v>2</v>
      </c>
      <c r="BK5">
        <v>100</v>
      </c>
      <c r="EC5" s="291" t="s">
        <v>57</v>
      </c>
    </row>
    <row r="6" spans="2:133" ht="20.100000000000001" customHeight="1" x14ac:dyDescent="0.2">
      <c r="B6" s="291" t="s">
        <v>1</v>
      </c>
      <c r="C6" s="147">
        <v>385</v>
      </c>
      <c r="D6" s="110">
        <v>24</v>
      </c>
      <c r="E6" s="110">
        <v>2.5</v>
      </c>
      <c r="F6" s="110">
        <v>1.2</v>
      </c>
      <c r="G6" s="110">
        <v>3.5</v>
      </c>
      <c r="H6" s="249" t="s">
        <v>498</v>
      </c>
      <c r="I6" s="284" t="s">
        <v>59</v>
      </c>
      <c r="J6" s="79">
        <v>120</v>
      </c>
      <c r="K6" s="79">
        <v>17.5</v>
      </c>
      <c r="L6" s="79">
        <v>734</v>
      </c>
      <c r="M6" s="79">
        <v>4</v>
      </c>
      <c r="N6" s="79">
        <v>1</v>
      </c>
      <c r="O6" s="79">
        <f t="shared" ref="O6:O8" si="6">O5</f>
        <v>1</v>
      </c>
      <c r="P6" s="79">
        <v>7.36</v>
      </c>
      <c r="Q6" s="79">
        <v>10</v>
      </c>
      <c r="R6" s="106">
        <v>3.1</v>
      </c>
      <c r="S6" s="106">
        <v>0.52</v>
      </c>
      <c r="T6" s="33">
        <v>20</v>
      </c>
      <c r="U6" s="1" t="s">
        <v>59</v>
      </c>
      <c r="W6" s="79">
        <v>4</v>
      </c>
      <c r="Y6" s="191"/>
      <c r="Z6" s="191" t="str">
        <f t="shared" si="0"/>
        <v>LOCKT18120</v>
      </c>
      <c r="AA6" s="239" t="str">
        <f t="shared" si="1"/>
        <v>LOCK-T 35 100</v>
      </c>
      <c r="AB6" s="3">
        <v>35</v>
      </c>
      <c r="AC6" s="3">
        <v>100</v>
      </c>
      <c r="AD6" s="3" t="str">
        <f t="shared" si="2"/>
        <v>Lock-T 100</v>
      </c>
      <c r="AE6" s="3">
        <f t="shared" si="3"/>
        <v>17.5</v>
      </c>
      <c r="AF6" s="3">
        <f t="shared" si="4"/>
        <v>2</v>
      </c>
      <c r="AG6">
        <f t="shared" si="5"/>
        <v>6</v>
      </c>
      <c r="AH6" s="76">
        <v>7</v>
      </c>
      <c r="AI6" t="s">
        <v>281</v>
      </c>
      <c r="AJ6" t="s">
        <v>325</v>
      </c>
      <c r="AL6" s="228">
        <v>1</v>
      </c>
      <c r="AN6" s="241">
        <v>2</v>
      </c>
      <c r="AO6">
        <v>1</v>
      </c>
      <c r="AV6">
        <v>50</v>
      </c>
      <c r="BA6" t="str">
        <f>CONCATENATE(AN7," x ",AN2)</f>
        <v>4 x LOCKSTOP5</v>
      </c>
      <c r="BB6" t="s">
        <v>342</v>
      </c>
      <c r="BC6" s="2">
        <v>2</v>
      </c>
      <c r="BJ6">
        <v>4</v>
      </c>
      <c r="BK6">
        <v>100</v>
      </c>
      <c r="EC6" s="291" t="s">
        <v>1</v>
      </c>
    </row>
    <row r="7" spans="2:133" ht="20.100000000000001" customHeight="1" x14ac:dyDescent="0.2">
      <c r="B7" s="291" t="s">
        <v>60</v>
      </c>
      <c r="C7" s="328">
        <v>405</v>
      </c>
      <c r="D7" s="329">
        <v>26</v>
      </c>
      <c r="E7" s="329">
        <v>2.5</v>
      </c>
      <c r="F7" s="329">
        <v>1.2</v>
      </c>
      <c r="G7" s="329">
        <v>3.5</v>
      </c>
      <c r="H7" s="249" t="s">
        <v>498</v>
      </c>
      <c r="I7" s="284" t="s">
        <v>61</v>
      </c>
      <c r="J7" s="79">
        <v>135</v>
      </c>
      <c r="K7" s="79">
        <v>25</v>
      </c>
      <c r="L7" s="79">
        <v>924</v>
      </c>
      <c r="M7" s="79">
        <v>3</v>
      </c>
      <c r="N7" s="79">
        <v>1</v>
      </c>
      <c r="O7" s="79">
        <f t="shared" si="6"/>
        <v>1</v>
      </c>
      <c r="P7" s="77">
        <v>5.3</v>
      </c>
      <c r="Q7" s="79">
        <v>15</v>
      </c>
      <c r="R7" s="106">
        <v>2.7</v>
      </c>
      <c r="S7" s="106">
        <v>0.65</v>
      </c>
      <c r="T7" s="33">
        <v>22</v>
      </c>
      <c r="U7" s="1" t="s">
        <v>61</v>
      </c>
      <c r="W7" s="79">
        <v>5</v>
      </c>
      <c r="Y7" s="191"/>
      <c r="Z7" s="191" t="str">
        <f t="shared" si="0"/>
        <v>LOCKT25135</v>
      </c>
      <c r="AA7" s="239" t="str">
        <f t="shared" si="1"/>
        <v>LOCK-T 35 120</v>
      </c>
      <c r="AB7" s="3">
        <v>35</v>
      </c>
      <c r="AC7" s="3">
        <v>120</v>
      </c>
      <c r="AD7" s="3" t="str">
        <f t="shared" si="2"/>
        <v>Lock-T 120</v>
      </c>
      <c r="AE7" s="3">
        <f t="shared" si="3"/>
        <v>17.5</v>
      </c>
      <c r="AF7" s="3">
        <f t="shared" si="4"/>
        <v>2</v>
      </c>
      <c r="AG7">
        <f t="shared" si="5"/>
        <v>8</v>
      </c>
      <c r="AH7" s="76">
        <v>7</v>
      </c>
      <c r="AI7" t="s">
        <v>281</v>
      </c>
      <c r="AJ7" t="s">
        <v>325</v>
      </c>
      <c r="AL7" s="228">
        <v>1</v>
      </c>
      <c r="AN7" s="241">
        <v>4</v>
      </c>
      <c r="AO7">
        <v>2</v>
      </c>
      <c r="AV7">
        <v>25</v>
      </c>
      <c r="BA7" t="str">
        <f>CONCATENATE(AO5," x ",AO2)</f>
        <v>1 x LOCKSTOP35</v>
      </c>
      <c r="BB7" t="s">
        <v>345</v>
      </c>
      <c r="BC7" s="2">
        <v>1</v>
      </c>
      <c r="BJ7">
        <v>1</v>
      </c>
      <c r="BK7">
        <v>50</v>
      </c>
      <c r="EC7" s="291" t="s">
        <v>60</v>
      </c>
    </row>
    <row r="8" spans="2:133" ht="20.100000000000001" customHeight="1" x14ac:dyDescent="0.2">
      <c r="B8" s="291" t="s">
        <v>62</v>
      </c>
      <c r="C8" s="328">
        <v>425</v>
      </c>
      <c r="D8" s="329">
        <v>28</v>
      </c>
      <c r="E8" s="329">
        <v>2.5</v>
      </c>
      <c r="F8" s="329">
        <v>1.2</v>
      </c>
      <c r="G8" s="329">
        <v>3.5</v>
      </c>
      <c r="H8" s="249" t="s">
        <v>498</v>
      </c>
      <c r="I8" s="284" t="s">
        <v>63</v>
      </c>
      <c r="J8" s="79">
        <v>175</v>
      </c>
      <c r="K8" s="79">
        <v>25</v>
      </c>
      <c r="L8" s="79">
        <v>1174</v>
      </c>
      <c r="M8" s="79">
        <v>4</v>
      </c>
      <c r="N8" s="79">
        <v>1</v>
      </c>
      <c r="O8" s="79">
        <f t="shared" si="6"/>
        <v>1</v>
      </c>
      <c r="P8" s="90">
        <v>10</v>
      </c>
      <c r="Q8" s="79">
        <v>20</v>
      </c>
      <c r="R8" s="106">
        <v>2.7</v>
      </c>
      <c r="S8" s="106">
        <v>0.56999999999999995</v>
      </c>
      <c r="T8" s="33">
        <v>22</v>
      </c>
      <c r="U8" s="1" t="s">
        <v>63</v>
      </c>
      <c r="W8" s="79">
        <v>6</v>
      </c>
      <c r="Y8" s="191"/>
      <c r="Z8" s="191" t="str">
        <f t="shared" si="0"/>
        <v>LOCKT25175</v>
      </c>
      <c r="AA8" s="3" t="str">
        <f t="shared" si="1"/>
        <v>LOCK-T 53 120</v>
      </c>
      <c r="AB8" s="3">
        <v>52.5</v>
      </c>
      <c r="AC8" s="3">
        <v>120</v>
      </c>
      <c r="AD8" s="3" t="str">
        <f t="shared" si="2"/>
        <v>Lock-T 120</v>
      </c>
      <c r="AE8" s="3">
        <f t="shared" si="3"/>
        <v>17.5</v>
      </c>
      <c r="AF8" s="3">
        <f t="shared" si="4"/>
        <v>3</v>
      </c>
      <c r="AG8">
        <f t="shared" si="5"/>
        <v>12</v>
      </c>
      <c r="AH8" s="76">
        <v>6.5</v>
      </c>
      <c r="AI8" t="s">
        <v>281</v>
      </c>
      <c r="AJ8" t="s">
        <v>325</v>
      </c>
      <c r="AL8" s="228">
        <v>1</v>
      </c>
      <c r="AN8" s="241">
        <v>4</v>
      </c>
      <c r="AV8">
        <v>25</v>
      </c>
      <c r="AW8">
        <f>IF('LOCK-T'!H104=80,2,IF('LOCK-T'!H104=100,1,IF('LOCK-T'!H104=120,2,IF('LOCK-T'!H104=135,1,IF('LOCK-T'!H104=175,2,IF('LOCK-T'!H104=215,2,IF('LOCK-T'!H104=240,3,IF('LOCK-T'!H104=265,3,IF('LOCK-T'!H104=290,3,)))))))))</f>
        <v>3</v>
      </c>
      <c r="BA8" t="str">
        <f>CONCATENATE(AO7," x ",AO2)</f>
        <v>2 x LOCKSTOP35</v>
      </c>
      <c r="BB8" t="s">
        <v>345</v>
      </c>
      <c r="BC8" s="2">
        <v>2</v>
      </c>
      <c r="BJ8">
        <v>2</v>
      </c>
      <c r="BK8">
        <v>50</v>
      </c>
      <c r="EC8" s="291" t="s">
        <v>62</v>
      </c>
    </row>
    <row r="9" spans="2:133" ht="20.100000000000001" customHeight="1" x14ac:dyDescent="0.2">
      <c r="B9" s="291" t="s">
        <v>64</v>
      </c>
      <c r="C9" s="147">
        <v>430</v>
      </c>
      <c r="D9" s="110">
        <v>30</v>
      </c>
      <c r="E9" s="110">
        <v>2.5</v>
      </c>
      <c r="F9" s="110">
        <v>1.2</v>
      </c>
      <c r="G9" s="110">
        <v>3.5</v>
      </c>
      <c r="H9" s="249" t="s">
        <v>498</v>
      </c>
      <c r="I9" s="284" t="s">
        <v>65</v>
      </c>
      <c r="J9" s="79">
        <v>215</v>
      </c>
      <c r="K9" s="79">
        <v>25</v>
      </c>
      <c r="L9" s="79">
        <v>1414</v>
      </c>
      <c r="M9" s="79">
        <v>6</v>
      </c>
      <c r="N9" s="79">
        <v>1</v>
      </c>
      <c r="O9" s="79">
        <f>O5</f>
        <v>1</v>
      </c>
      <c r="P9" s="91">
        <v>17.2</v>
      </c>
      <c r="Q9" s="79">
        <v>20</v>
      </c>
      <c r="R9" s="106">
        <v>2.2999999999999998</v>
      </c>
      <c r="S9" s="106">
        <v>0.57999999999999996</v>
      </c>
      <c r="T9" s="33">
        <v>22</v>
      </c>
      <c r="U9" s="1" t="s">
        <v>65</v>
      </c>
      <c r="W9" s="86">
        <v>7</v>
      </c>
      <c r="Y9" s="191"/>
      <c r="Z9" s="191" t="str">
        <f t="shared" si="0"/>
        <v>LOCKT25215</v>
      </c>
      <c r="AA9" s="239" t="str">
        <f t="shared" si="1"/>
        <v>LOCK-T 50 135</v>
      </c>
      <c r="AB9" s="3">
        <v>50</v>
      </c>
      <c r="AC9" s="3">
        <v>135</v>
      </c>
      <c r="AD9" s="3" t="str">
        <f t="shared" si="2"/>
        <v>Lock-T 135</v>
      </c>
      <c r="AE9" s="3">
        <f t="shared" si="3"/>
        <v>25</v>
      </c>
      <c r="AF9" s="3">
        <f t="shared" si="4"/>
        <v>2</v>
      </c>
      <c r="AG9">
        <f t="shared" si="5"/>
        <v>6</v>
      </c>
      <c r="AH9" s="76">
        <v>7</v>
      </c>
      <c r="AI9" t="s">
        <v>281</v>
      </c>
      <c r="AJ9" t="s">
        <v>325</v>
      </c>
      <c r="AL9" s="228">
        <v>1</v>
      </c>
      <c r="AP9" s="241">
        <v>2</v>
      </c>
      <c r="AQ9">
        <v>1</v>
      </c>
      <c r="AV9">
        <v>25</v>
      </c>
      <c r="AW9" t="str">
        <f>IF('LOCK-T'!H104=80,Data!AA4,IF('LOCK-T'!H104=100,Data!AA6,IF('LOCK-T'!H104=120,Data!AA7,IF('LOCK-T'!H104=135,Data!AA9,IF('LOCK-T'!H104=175,AA10,IF('LOCK-T'!H104=215,Data!AA12,IF('LOCK-T'!H104=240,Data!AA14,IF('LOCK-T'!H104=265,Data!AA17,IF('LOCK-T'!H104=290,Data!AA20,)))))))))</f>
        <v>LOCK-T 75 290</v>
      </c>
      <c r="BA9" t="str">
        <f>CONCATENATE(AP9," x ",AP2)</f>
        <v>2 x LOCKSTOP7</v>
      </c>
      <c r="BB9" t="s">
        <v>343</v>
      </c>
      <c r="BC9" s="2">
        <v>1</v>
      </c>
      <c r="BJ9">
        <v>2</v>
      </c>
      <c r="BK9">
        <v>50</v>
      </c>
      <c r="EC9" s="291" t="s">
        <v>64</v>
      </c>
    </row>
    <row r="10" spans="2:133" ht="20.100000000000001" customHeight="1" x14ac:dyDescent="0.2">
      <c r="B10" s="291" t="s">
        <v>66</v>
      </c>
      <c r="C10" s="328">
        <v>440</v>
      </c>
      <c r="D10" s="329">
        <v>32</v>
      </c>
      <c r="E10" s="329">
        <v>2.5</v>
      </c>
      <c r="F10" s="329">
        <v>1.2</v>
      </c>
      <c r="G10" s="329">
        <v>3.5</v>
      </c>
      <c r="H10" s="249" t="s">
        <v>498</v>
      </c>
      <c r="I10" s="285" t="s">
        <v>124</v>
      </c>
      <c r="J10" s="91">
        <v>240</v>
      </c>
      <c r="K10" s="91">
        <v>25</v>
      </c>
      <c r="L10" s="91">
        <v>1645</v>
      </c>
      <c r="M10" s="91">
        <v>7</v>
      </c>
      <c r="N10" s="91">
        <v>1</v>
      </c>
      <c r="O10" s="91">
        <f>O6</f>
        <v>1</v>
      </c>
      <c r="P10" s="91">
        <v>22.7</v>
      </c>
      <c r="Q10" s="91">
        <v>24</v>
      </c>
      <c r="R10" s="107">
        <v>2.8</v>
      </c>
      <c r="S10" s="107">
        <v>0.56999999999999995</v>
      </c>
      <c r="T10" s="94">
        <v>22</v>
      </c>
      <c r="U10" s="93" t="s">
        <v>124</v>
      </c>
      <c r="W10" s="89"/>
      <c r="Y10" s="191"/>
      <c r="Z10" s="191" t="str">
        <f t="shared" si="0"/>
        <v>LOCKT25240</v>
      </c>
      <c r="AA10" s="239" t="str">
        <f t="shared" si="1"/>
        <v>LOCK-T 50 175</v>
      </c>
      <c r="AB10" s="3">
        <v>50</v>
      </c>
      <c r="AC10" s="3">
        <v>175</v>
      </c>
      <c r="AD10" s="3" t="str">
        <f t="shared" si="2"/>
        <v>Lock-T 175</v>
      </c>
      <c r="AE10" s="3">
        <f t="shared" si="3"/>
        <v>25</v>
      </c>
      <c r="AF10" s="3">
        <f t="shared" si="4"/>
        <v>2</v>
      </c>
      <c r="AG10">
        <f t="shared" si="5"/>
        <v>8</v>
      </c>
      <c r="AH10" s="76">
        <v>7</v>
      </c>
      <c r="AI10" t="s">
        <v>281</v>
      </c>
      <c r="AJ10" t="s">
        <v>325</v>
      </c>
      <c r="AL10" s="228">
        <v>1</v>
      </c>
      <c r="AP10" s="241">
        <v>4</v>
      </c>
      <c r="AQ10">
        <v>2</v>
      </c>
      <c r="AV10">
        <v>18</v>
      </c>
      <c r="AW10" t="str">
        <f>IF('LOCK-T'!H104=80,Data!AA5,IF('LOCK-T'!H104=120,Data!AA8,IF('LOCK-T'!H104=175,AA11,IF('LOCK-T'!H104=215,Data!AA13,IF('LOCK-T'!H104=240,Data!AA15,IF('LOCK-T'!H104=265,Data!AA18,IF('LOCK-T'!H104=290,Data!AA21,)))))))</f>
        <v>LOCK-T 100 290</v>
      </c>
      <c r="BA10" t="str">
        <f>CONCATENATE(AP10," x ",AP2)</f>
        <v>4 x LOCKSTOP7</v>
      </c>
      <c r="BB10" t="s">
        <v>343</v>
      </c>
      <c r="BC10" s="2">
        <v>2</v>
      </c>
      <c r="BJ10">
        <v>4</v>
      </c>
      <c r="BK10">
        <v>50</v>
      </c>
      <c r="EC10" s="291" t="s">
        <v>66</v>
      </c>
    </row>
    <row r="11" spans="2:133" ht="20.100000000000001" customHeight="1" x14ac:dyDescent="0.2">
      <c r="B11" s="291"/>
      <c r="C11" s="328"/>
      <c r="D11" s="329"/>
      <c r="E11" s="329"/>
      <c r="F11" s="329"/>
      <c r="G11" s="329"/>
      <c r="H11" s="249"/>
      <c r="I11" s="285" t="s">
        <v>125</v>
      </c>
      <c r="J11" s="91">
        <v>265</v>
      </c>
      <c r="K11" s="91">
        <v>25</v>
      </c>
      <c r="L11" s="91">
        <v>1795</v>
      </c>
      <c r="M11" s="91">
        <v>8</v>
      </c>
      <c r="N11" s="91">
        <v>1</v>
      </c>
      <c r="O11" s="91">
        <f>O7</f>
        <v>1</v>
      </c>
      <c r="P11" s="90">
        <v>29</v>
      </c>
      <c r="Q11" s="91">
        <v>24</v>
      </c>
      <c r="R11" s="107">
        <v>2.8</v>
      </c>
      <c r="S11" s="107">
        <v>0.56000000000000005</v>
      </c>
      <c r="T11" s="94">
        <v>22</v>
      </c>
      <c r="U11" s="93" t="s">
        <v>125</v>
      </c>
      <c r="W11" s="3"/>
      <c r="Y11" s="191"/>
      <c r="Z11" s="191" t="str">
        <f t="shared" si="0"/>
        <v>LOCKT25265</v>
      </c>
      <c r="AA11" s="3" t="str">
        <f t="shared" si="1"/>
        <v>LOCK-T 75 175</v>
      </c>
      <c r="AB11" s="3">
        <v>75</v>
      </c>
      <c r="AC11" s="3">
        <v>175</v>
      </c>
      <c r="AD11" s="3" t="str">
        <f t="shared" si="2"/>
        <v>Lock-T 175</v>
      </c>
      <c r="AE11" s="3">
        <f t="shared" si="3"/>
        <v>25</v>
      </c>
      <c r="AF11" s="3">
        <f t="shared" si="4"/>
        <v>3</v>
      </c>
      <c r="AG11">
        <f t="shared" si="5"/>
        <v>12</v>
      </c>
      <c r="AH11" s="76">
        <v>7</v>
      </c>
      <c r="AI11" t="s">
        <v>281</v>
      </c>
      <c r="AJ11" t="s">
        <v>325</v>
      </c>
      <c r="AL11" s="228">
        <v>2</v>
      </c>
      <c r="AP11" s="241">
        <v>4</v>
      </c>
      <c r="AR11">
        <v>2</v>
      </c>
      <c r="AV11">
        <v>12</v>
      </c>
      <c r="AW11" t="str">
        <f>IF('LOCK-T'!H104=240,Data!AA16,IF('LOCK-T'!H104=265,Data!AA19,IF('LOCK-T'!H104=290,Data!AA22,)))</f>
        <v>LOCK-T 125 290</v>
      </c>
      <c r="BA11" t="str">
        <f>CONCATENATE(AQ9," x ",AQ2)</f>
        <v>1 x LOCKSTOP50</v>
      </c>
      <c r="BB11" t="s">
        <v>346</v>
      </c>
      <c r="BC11" s="2">
        <v>1</v>
      </c>
      <c r="BJ11">
        <v>1</v>
      </c>
      <c r="BK11">
        <v>40</v>
      </c>
      <c r="EC11" s="291"/>
    </row>
    <row r="12" spans="2:133" ht="20.100000000000001" customHeight="1" thickBot="1" x14ac:dyDescent="0.25">
      <c r="B12" s="291" t="s">
        <v>68</v>
      </c>
      <c r="C12" s="328">
        <v>355</v>
      </c>
      <c r="D12" s="329">
        <v>18.5</v>
      </c>
      <c r="E12" s="329">
        <v>2.5</v>
      </c>
      <c r="F12" s="329">
        <v>1.2</v>
      </c>
      <c r="G12" s="329">
        <v>3.5</v>
      </c>
      <c r="H12" s="249" t="s">
        <v>498</v>
      </c>
      <c r="I12" s="286" t="s">
        <v>126</v>
      </c>
      <c r="J12" s="96">
        <v>290</v>
      </c>
      <c r="K12" s="96">
        <v>25</v>
      </c>
      <c r="L12" s="96">
        <v>1945</v>
      </c>
      <c r="M12" s="96">
        <v>9</v>
      </c>
      <c r="N12" s="96">
        <v>1</v>
      </c>
      <c r="O12" s="96">
        <f>O8</f>
        <v>1</v>
      </c>
      <c r="P12" s="92">
        <v>36</v>
      </c>
      <c r="Q12" s="96">
        <v>24</v>
      </c>
      <c r="R12" s="108">
        <v>2.8</v>
      </c>
      <c r="S12" s="108">
        <v>0.55000000000000004</v>
      </c>
      <c r="T12" s="123">
        <v>22</v>
      </c>
      <c r="U12" s="95" t="s">
        <v>126</v>
      </c>
      <c r="W12" s="3"/>
      <c r="Y12" s="191"/>
      <c r="Z12" s="191" t="str">
        <f t="shared" si="0"/>
        <v>LOCKT25290</v>
      </c>
      <c r="AA12" s="239" t="str">
        <f t="shared" si="1"/>
        <v>LOCK-T 75 215</v>
      </c>
      <c r="AB12" s="3">
        <v>75</v>
      </c>
      <c r="AC12" s="3">
        <v>215</v>
      </c>
      <c r="AD12" s="3" t="str">
        <f t="shared" si="2"/>
        <v>Lock-T 215</v>
      </c>
      <c r="AE12" s="3">
        <f t="shared" si="3"/>
        <v>25</v>
      </c>
      <c r="AF12" s="3">
        <f t="shared" si="4"/>
        <v>3</v>
      </c>
      <c r="AG12">
        <f t="shared" si="5"/>
        <v>18</v>
      </c>
      <c r="AH12" s="76">
        <v>8</v>
      </c>
      <c r="AI12" t="s">
        <v>281</v>
      </c>
      <c r="AJ12" t="s">
        <v>325</v>
      </c>
      <c r="AL12" s="228">
        <v>2</v>
      </c>
      <c r="AP12" s="241">
        <v>4</v>
      </c>
      <c r="AR12">
        <v>2</v>
      </c>
      <c r="AV12">
        <v>12</v>
      </c>
      <c r="BA12" t="str">
        <f>CONCATENATE(AQ10," x ",AQ2)</f>
        <v>2 x LOCKSTOP50</v>
      </c>
      <c r="BB12" t="s">
        <v>346</v>
      </c>
      <c r="BC12" s="2">
        <v>2</v>
      </c>
      <c r="BJ12">
        <v>2</v>
      </c>
      <c r="BK12">
        <v>40</v>
      </c>
      <c r="EC12" s="291" t="s">
        <v>68</v>
      </c>
    </row>
    <row r="13" spans="2:133" ht="20.100000000000001" customHeight="1" thickBot="1" x14ac:dyDescent="0.25">
      <c r="B13" s="291" t="s">
        <v>70</v>
      </c>
      <c r="C13" s="147">
        <v>355</v>
      </c>
      <c r="D13" s="110">
        <v>20</v>
      </c>
      <c r="E13" s="110">
        <v>2.5</v>
      </c>
      <c r="F13" s="110">
        <v>1.2</v>
      </c>
      <c r="G13" s="110">
        <v>3.5</v>
      </c>
      <c r="H13" s="249" t="s">
        <v>498</v>
      </c>
      <c r="Y13" s="191"/>
      <c r="Z13" s="191" t="str">
        <f t="shared" si="0"/>
        <v>LOCKT0</v>
      </c>
      <c r="AA13" s="3" t="str">
        <f t="shared" si="1"/>
        <v>LOCK-T 100 215</v>
      </c>
      <c r="AB13" s="3">
        <v>100</v>
      </c>
      <c r="AC13" s="3">
        <v>215</v>
      </c>
      <c r="AD13" s="3" t="str">
        <f t="shared" si="2"/>
        <v>Lock-T 215</v>
      </c>
      <c r="AE13" s="3">
        <f t="shared" si="3"/>
        <v>25</v>
      </c>
      <c r="AF13" s="3">
        <f t="shared" si="4"/>
        <v>4</v>
      </c>
      <c r="AG13">
        <f t="shared" si="5"/>
        <v>24</v>
      </c>
      <c r="AH13" s="76">
        <v>8</v>
      </c>
      <c r="AI13" t="s">
        <v>281</v>
      </c>
      <c r="AJ13" t="s">
        <v>326</v>
      </c>
      <c r="AL13" s="228">
        <v>3</v>
      </c>
      <c r="AP13" s="241">
        <v>4</v>
      </c>
      <c r="AS13">
        <v>2</v>
      </c>
      <c r="AV13">
        <v>8</v>
      </c>
      <c r="BA13" t="str">
        <f>CONCATENATE(AR11," x ",AR2)</f>
        <v>2 x LOCKSTOP75</v>
      </c>
      <c r="BB13" t="s">
        <v>347</v>
      </c>
      <c r="BC13" s="2">
        <v>2</v>
      </c>
      <c r="BJ13">
        <v>2</v>
      </c>
      <c r="BK13">
        <v>20</v>
      </c>
      <c r="EC13" s="291" t="s">
        <v>70</v>
      </c>
    </row>
    <row r="14" spans="2:133" ht="20.100000000000001" customHeight="1" x14ac:dyDescent="0.2">
      <c r="B14" s="291" t="s">
        <v>71</v>
      </c>
      <c r="C14" s="328">
        <v>365</v>
      </c>
      <c r="D14" s="329">
        <v>21.5</v>
      </c>
      <c r="E14" s="329">
        <v>2.5</v>
      </c>
      <c r="F14" s="329">
        <v>1.2</v>
      </c>
      <c r="G14" s="329">
        <v>3.5</v>
      </c>
      <c r="H14" s="249" t="s">
        <v>498</v>
      </c>
      <c r="I14" s="287" t="s">
        <v>67</v>
      </c>
      <c r="J14" s="31">
        <v>100</v>
      </c>
      <c r="K14" s="31">
        <v>210</v>
      </c>
      <c r="L14" s="31">
        <v>614</v>
      </c>
      <c r="M14" s="31">
        <v>8</v>
      </c>
      <c r="N14" s="97">
        <f>_xlfn.FLOOR.MATH((K14-20)/25)</f>
        <v>7</v>
      </c>
      <c r="O14" s="31">
        <v>1</v>
      </c>
      <c r="P14" s="80">
        <v>12.5</v>
      </c>
      <c r="Q14" s="81">
        <v>130</v>
      </c>
      <c r="R14" s="81">
        <v>34.5</v>
      </c>
      <c r="S14" s="81">
        <v>0.14000000000000001</v>
      </c>
      <c r="T14" s="163">
        <v>20</v>
      </c>
      <c r="U14" s="161" t="s">
        <v>67</v>
      </c>
      <c r="Y14" s="191"/>
      <c r="Z14" s="191" t="str">
        <f t="shared" si="0"/>
        <v>LOCKT210100</v>
      </c>
      <c r="AA14" s="239" t="str">
        <f t="shared" si="1"/>
        <v>LOCK-T 75 240</v>
      </c>
      <c r="AB14" s="3">
        <v>75</v>
      </c>
      <c r="AC14" s="3">
        <v>240</v>
      </c>
      <c r="AD14" s="3" t="str">
        <f t="shared" si="2"/>
        <v>Lock-T 240</v>
      </c>
      <c r="AE14" s="3">
        <f t="shared" si="3"/>
        <v>25</v>
      </c>
      <c r="AF14" s="3">
        <f t="shared" si="4"/>
        <v>3</v>
      </c>
      <c r="AG14">
        <f t="shared" si="5"/>
        <v>21</v>
      </c>
      <c r="AH14" s="76">
        <v>8</v>
      </c>
      <c r="AI14" t="s">
        <v>281</v>
      </c>
      <c r="AJ14" t="s">
        <v>326</v>
      </c>
      <c r="AK14" s="237" t="s">
        <v>341</v>
      </c>
      <c r="AL14" s="228">
        <v>2</v>
      </c>
      <c r="AP14" s="241">
        <v>4</v>
      </c>
      <c r="AR14">
        <v>2</v>
      </c>
      <c r="AU14" s="237" t="s">
        <v>357</v>
      </c>
      <c r="AV14">
        <v>20</v>
      </c>
      <c r="BA14" t="str">
        <f>CONCATENATE(AS13," x ",AS2)</f>
        <v>2 x LOCKSTOP100</v>
      </c>
      <c r="BB14" t="s">
        <v>348</v>
      </c>
      <c r="BC14" s="2">
        <v>2</v>
      </c>
      <c r="BJ14">
        <v>2</v>
      </c>
      <c r="BK14">
        <v>20</v>
      </c>
      <c r="EC14" s="291" t="s">
        <v>71</v>
      </c>
    </row>
    <row r="15" spans="2:133" ht="20.100000000000001" customHeight="1" thickBot="1" x14ac:dyDescent="0.25">
      <c r="B15" s="291" t="s">
        <v>72</v>
      </c>
      <c r="C15" s="328">
        <v>385</v>
      </c>
      <c r="D15" s="329">
        <v>23.5</v>
      </c>
      <c r="E15" s="329">
        <v>2.5</v>
      </c>
      <c r="F15" s="329">
        <v>1.2</v>
      </c>
      <c r="G15" s="329">
        <v>3.5</v>
      </c>
      <c r="H15" s="249" t="s">
        <v>498</v>
      </c>
      <c r="I15" s="288" t="s">
        <v>69</v>
      </c>
      <c r="J15" s="35">
        <v>135</v>
      </c>
      <c r="K15" s="35">
        <v>300</v>
      </c>
      <c r="L15" s="35">
        <v>924</v>
      </c>
      <c r="M15" s="35">
        <v>8</v>
      </c>
      <c r="N15" s="98">
        <f>_xlfn.FLOOR.MATH((K15-20)/25)</f>
        <v>11</v>
      </c>
      <c r="O15" s="35">
        <v>1</v>
      </c>
      <c r="P15" s="82">
        <v>15.3</v>
      </c>
      <c r="Q15" s="82">
        <v>240</v>
      </c>
      <c r="R15" s="82">
        <v>32.299999999999997</v>
      </c>
      <c r="S15" s="82">
        <v>0.16</v>
      </c>
      <c r="T15" s="164">
        <v>22</v>
      </c>
      <c r="U15" s="162" t="s">
        <v>69</v>
      </c>
      <c r="Y15" s="191"/>
      <c r="Z15" s="191" t="str">
        <f t="shared" si="0"/>
        <v>LOCKT300135</v>
      </c>
      <c r="AA15" s="3" t="str">
        <f t="shared" si="1"/>
        <v>LOCK-T 100 240</v>
      </c>
      <c r="AB15" s="3">
        <v>100</v>
      </c>
      <c r="AC15" s="3">
        <v>240</v>
      </c>
      <c r="AD15" s="3" t="str">
        <f t="shared" si="2"/>
        <v>Lock-T 240</v>
      </c>
      <c r="AE15" s="3">
        <f t="shared" si="3"/>
        <v>25</v>
      </c>
      <c r="AF15" s="3">
        <f t="shared" si="4"/>
        <v>4</v>
      </c>
      <c r="AG15">
        <f t="shared" si="5"/>
        <v>28</v>
      </c>
      <c r="AH15" s="76">
        <v>8</v>
      </c>
      <c r="AI15" t="s">
        <v>281</v>
      </c>
      <c r="AJ15" t="s">
        <v>326</v>
      </c>
      <c r="AK15" s="237" t="s">
        <v>341</v>
      </c>
      <c r="AL15" s="228">
        <v>3</v>
      </c>
      <c r="AP15" s="241">
        <v>4</v>
      </c>
      <c r="AS15">
        <v>2</v>
      </c>
      <c r="AU15" s="237" t="s">
        <v>357</v>
      </c>
      <c r="AV15">
        <v>10</v>
      </c>
      <c r="BA15" t="str">
        <f>CONCATENATE(AT16," x ",AT2)</f>
        <v>2 x LOCKSTOP125</v>
      </c>
      <c r="BB15" t="s">
        <v>349</v>
      </c>
      <c r="BC15" s="2">
        <v>2</v>
      </c>
      <c r="BJ15">
        <v>2</v>
      </c>
      <c r="BK15">
        <v>20</v>
      </c>
      <c r="EC15" s="291" t="s">
        <v>72</v>
      </c>
    </row>
    <row r="16" spans="2:133" ht="20.100000000000001" customHeight="1" x14ac:dyDescent="0.2">
      <c r="B16" s="291" t="s">
        <v>73</v>
      </c>
      <c r="C16" s="147">
        <v>390</v>
      </c>
      <c r="D16" s="110">
        <v>24</v>
      </c>
      <c r="E16" s="110">
        <v>2.5</v>
      </c>
      <c r="F16" s="110">
        <v>1.2</v>
      </c>
      <c r="G16" s="110">
        <v>3.5</v>
      </c>
      <c r="H16" s="249" t="s">
        <v>498</v>
      </c>
      <c r="Y16" s="191"/>
      <c r="Z16" s="191" t="str">
        <f t="shared" si="0"/>
        <v>LOCKT0</v>
      </c>
      <c r="AA16" s="3" t="str">
        <f t="shared" si="1"/>
        <v>LOCK-T 125 240</v>
      </c>
      <c r="AB16" s="3">
        <v>125</v>
      </c>
      <c r="AC16" s="3">
        <v>240</v>
      </c>
      <c r="AD16" s="3" t="str">
        <f t="shared" si="2"/>
        <v>Lock-T 240</v>
      </c>
      <c r="AE16" s="3">
        <f t="shared" si="3"/>
        <v>25</v>
      </c>
      <c r="AF16" s="3">
        <f t="shared" si="4"/>
        <v>5</v>
      </c>
      <c r="AG16">
        <f t="shared" si="5"/>
        <v>35</v>
      </c>
      <c r="AH16" s="76">
        <v>8</v>
      </c>
      <c r="AI16" t="s">
        <v>281</v>
      </c>
      <c r="AJ16" t="s">
        <v>326</v>
      </c>
      <c r="AK16" s="237" t="s">
        <v>341</v>
      </c>
      <c r="AL16" s="228">
        <v>4</v>
      </c>
      <c r="AP16" s="241">
        <v>4</v>
      </c>
      <c r="AT16">
        <v>2</v>
      </c>
      <c r="AU16" s="237" t="s">
        <v>357</v>
      </c>
      <c r="AV16">
        <v>10</v>
      </c>
      <c r="BA16" t="str">
        <f>CONCATENATE(1," x ",AS2)</f>
        <v>1 x LOCKSTOP100</v>
      </c>
      <c r="BB16" t="s">
        <v>348</v>
      </c>
      <c r="BC16" s="2">
        <v>2</v>
      </c>
      <c r="BJ16">
        <v>1</v>
      </c>
      <c r="BK16">
        <v>20</v>
      </c>
      <c r="EC16" s="291" t="s">
        <v>73</v>
      </c>
    </row>
    <row r="17" spans="2:133" ht="20.100000000000001" customHeight="1" x14ac:dyDescent="0.2">
      <c r="B17" s="291" t="s">
        <v>74</v>
      </c>
      <c r="C17" s="328">
        <v>390</v>
      </c>
      <c r="D17" s="329">
        <v>24.5</v>
      </c>
      <c r="E17" s="329">
        <v>2.5</v>
      </c>
      <c r="F17" s="329">
        <v>1.2</v>
      </c>
      <c r="G17" s="329">
        <v>3.5</v>
      </c>
      <c r="H17" s="249" t="s">
        <v>498</v>
      </c>
      <c r="Y17" s="191"/>
      <c r="Z17" s="191" t="str">
        <f t="shared" si="0"/>
        <v>LOCKT0</v>
      </c>
      <c r="AA17" s="239" t="str">
        <f t="shared" si="1"/>
        <v>LOCK-T 75 265</v>
      </c>
      <c r="AB17" s="3">
        <v>75</v>
      </c>
      <c r="AC17" s="3">
        <v>265</v>
      </c>
      <c r="AD17" s="3" t="str">
        <f t="shared" si="2"/>
        <v>Lock-T 265</v>
      </c>
      <c r="AE17" s="3">
        <f t="shared" si="3"/>
        <v>25</v>
      </c>
      <c r="AF17" s="3">
        <f t="shared" si="4"/>
        <v>3</v>
      </c>
      <c r="AG17">
        <f t="shared" si="5"/>
        <v>24</v>
      </c>
      <c r="AH17" s="76">
        <v>8</v>
      </c>
      <c r="AI17" t="s">
        <v>281</v>
      </c>
      <c r="AJ17" t="s">
        <v>326</v>
      </c>
      <c r="AK17" s="237" t="s">
        <v>341</v>
      </c>
      <c r="AL17" s="228">
        <v>2</v>
      </c>
      <c r="AP17" s="241">
        <v>4</v>
      </c>
      <c r="AR17">
        <v>2</v>
      </c>
      <c r="AU17" s="237" t="s">
        <v>357</v>
      </c>
      <c r="AV17">
        <v>20</v>
      </c>
      <c r="EC17" s="291" t="s">
        <v>74</v>
      </c>
    </row>
    <row r="18" spans="2:133" ht="20.100000000000001" customHeight="1" x14ac:dyDescent="0.2">
      <c r="B18" s="291" t="s">
        <v>75</v>
      </c>
      <c r="C18" s="328">
        <v>400</v>
      </c>
      <c r="D18" s="329">
        <v>24.5</v>
      </c>
      <c r="E18" s="329">
        <v>2.5</v>
      </c>
      <c r="F18" s="329">
        <v>1.2</v>
      </c>
      <c r="G18" s="329">
        <v>3.5</v>
      </c>
      <c r="H18" s="249" t="s">
        <v>498</v>
      </c>
      <c r="Y18" s="191"/>
      <c r="Z18" s="191" t="str">
        <f t="shared" si="0"/>
        <v>LOCKT0</v>
      </c>
      <c r="AA18" s="3" t="str">
        <f t="shared" si="1"/>
        <v>LOCK-T 100 265</v>
      </c>
      <c r="AB18" s="3">
        <v>100</v>
      </c>
      <c r="AC18" s="3">
        <v>265</v>
      </c>
      <c r="AD18" s="3" t="str">
        <f t="shared" si="2"/>
        <v>Lock-T 265</v>
      </c>
      <c r="AE18" s="3">
        <f t="shared" si="3"/>
        <v>25</v>
      </c>
      <c r="AF18" s="3">
        <f t="shared" si="4"/>
        <v>4</v>
      </c>
      <c r="AG18">
        <f t="shared" si="5"/>
        <v>32</v>
      </c>
      <c r="AH18" s="76">
        <v>8</v>
      </c>
      <c r="AI18" t="s">
        <v>281</v>
      </c>
      <c r="AJ18" t="s">
        <v>326</v>
      </c>
      <c r="AK18" s="237" t="s">
        <v>341</v>
      </c>
      <c r="AL18" s="228">
        <v>3</v>
      </c>
      <c r="AP18" s="241">
        <v>4</v>
      </c>
      <c r="AS18">
        <v>2</v>
      </c>
      <c r="AU18" s="237" t="s">
        <v>357</v>
      </c>
      <c r="AV18">
        <v>10</v>
      </c>
      <c r="EC18" s="291" t="s">
        <v>75</v>
      </c>
    </row>
    <row r="19" spans="2:133" ht="20.100000000000001" customHeight="1" x14ac:dyDescent="0.2">
      <c r="B19" s="291"/>
      <c r="C19" s="328"/>
      <c r="D19" s="329"/>
      <c r="E19" s="329"/>
      <c r="F19" s="329"/>
      <c r="G19" s="329"/>
      <c r="H19" s="249"/>
      <c r="Y19" s="191"/>
      <c r="Z19" s="191" t="str">
        <f t="shared" si="0"/>
        <v>LOCKT0</v>
      </c>
      <c r="AA19" s="3" t="str">
        <f t="shared" si="1"/>
        <v>LOCK-T 125 265</v>
      </c>
      <c r="AB19" s="3">
        <v>125</v>
      </c>
      <c r="AC19" s="3">
        <v>265</v>
      </c>
      <c r="AD19" s="3" t="str">
        <f t="shared" si="2"/>
        <v>Lock-T 265</v>
      </c>
      <c r="AE19" s="3">
        <f t="shared" si="3"/>
        <v>25</v>
      </c>
      <c r="AF19" s="3">
        <f t="shared" si="4"/>
        <v>5</v>
      </c>
      <c r="AG19">
        <f t="shared" si="5"/>
        <v>40</v>
      </c>
      <c r="AH19" s="76">
        <v>8</v>
      </c>
      <c r="AI19" t="s">
        <v>281</v>
      </c>
      <c r="AJ19" t="s">
        <v>326</v>
      </c>
      <c r="AK19" s="237" t="s">
        <v>341</v>
      </c>
      <c r="AL19" s="228">
        <v>4</v>
      </c>
      <c r="AP19" s="241">
        <v>4</v>
      </c>
      <c r="AT19">
        <v>2</v>
      </c>
      <c r="AU19" s="237" t="s">
        <v>357</v>
      </c>
      <c r="AV19">
        <v>10</v>
      </c>
      <c r="EC19" s="291"/>
    </row>
    <row r="20" spans="2:133" ht="20.100000000000001" customHeight="1" x14ac:dyDescent="0.2">
      <c r="B20" s="291" t="s">
        <v>76</v>
      </c>
      <c r="C20" s="147">
        <v>290</v>
      </c>
      <c r="D20" s="110">
        <v>16</v>
      </c>
      <c r="E20" s="110">
        <v>2</v>
      </c>
      <c r="F20" s="110">
        <f>2*0.4</f>
        <v>0.8</v>
      </c>
      <c r="G20" s="110">
        <v>3</v>
      </c>
      <c r="H20" s="249" t="s">
        <v>499</v>
      </c>
      <c r="Y20" s="191"/>
      <c r="Z20" s="191" t="str">
        <f t="shared" si="0"/>
        <v>LOCKT0</v>
      </c>
      <c r="AA20" s="239" t="str">
        <f t="shared" si="1"/>
        <v>LOCK-T 75 290</v>
      </c>
      <c r="AB20" s="3">
        <v>75</v>
      </c>
      <c r="AC20" s="3">
        <v>290</v>
      </c>
      <c r="AD20" s="3" t="str">
        <f t="shared" si="2"/>
        <v>Lock-T 290</v>
      </c>
      <c r="AE20" s="3">
        <f t="shared" si="3"/>
        <v>25</v>
      </c>
      <c r="AF20" s="3">
        <f t="shared" si="4"/>
        <v>3</v>
      </c>
      <c r="AG20">
        <f t="shared" si="5"/>
        <v>27</v>
      </c>
      <c r="AH20" s="76">
        <v>8</v>
      </c>
      <c r="AI20" t="s">
        <v>281</v>
      </c>
      <c r="AJ20" t="s">
        <v>326</v>
      </c>
      <c r="AK20" s="237" t="s">
        <v>341</v>
      </c>
      <c r="AL20" s="228">
        <v>2</v>
      </c>
      <c r="AP20" s="241">
        <v>4</v>
      </c>
      <c r="AR20">
        <v>2</v>
      </c>
      <c r="AU20" s="237" t="s">
        <v>357</v>
      </c>
      <c r="AV20">
        <v>20</v>
      </c>
      <c r="EC20" s="291" t="s">
        <v>76</v>
      </c>
    </row>
    <row r="21" spans="2:133" ht="20.100000000000001" customHeight="1" x14ac:dyDescent="0.2">
      <c r="B21" s="291" t="s">
        <v>77</v>
      </c>
      <c r="C21" s="328">
        <v>310</v>
      </c>
      <c r="D21" s="329">
        <v>17</v>
      </c>
      <c r="E21" s="329">
        <v>2.2000000000000002</v>
      </c>
      <c r="F21" s="110">
        <f t="shared" ref="F21:F31" si="7">2*0.4</f>
        <v>0.8</v>
      </c>
      <c r="G21" s="329">
        <v>3.2</v>
      </c>
      <c r="H21" s="249" t="s">
        <v>499</v>
      </c>
      <c r="R21" t="str">
        <f>I9</f>
        <v>Lock-T 215</v>
      </c>
      <c r="S21">
        <f>VLOOKUP(R21,Data!$I$4:$L$12,4,FALSE)</f>
        <v>1414</v>
      </c>
      <c r="Y21" s="191"/>
      <c r="Z21" s="191" t="str">
        <f t="shared" si="0"/>
        <v>LOCKT0</v>
      </c>
      <c r="AA21" s="3" t="str">
        <f t="shared" si="1"/>
        <v>LOCK-T 100 290</v>
      </c>
      <c r="AB21" s="3">
        <v>100</v>
      </c>
      <c r="AC21" s="3">
        <v>290</v>
      </c>
      <c r="AD21" s="3" t="str">
        <f t="shared" si="2"/>
        <v>Lock-T 290</v>
      </c>
      <c r="AE21" s="3">
        <f t="shared" si="3"/>
        <v>25</v>
      </c>
      <c r="AF21" s="3">
        <f t="shared" si="4"/>
        <v>4</v>
      </c>
      <c r="AG21">
        <f t="shared" si="5"/>
        <v>36</v>
      </c>
      <c r="AH21" s="76">
        <v>8</v>
      </c>
      <c r="AI21" t="s">
        <v>281</v>
      </c>
      <c r="AJ21" t="s">
        <v>326</v>
      </c>
      <c r="AK21" s="237" t="s">
        <v>341</v>
      </c>
      <c r="AL21" s="228">
        <v>3</v>
      </c>
      <c r="AP21" s="241">
        <v>4</v>
      </c>
      <c r="AS21">
        <v>2</v>
      </c>
      <c r="AU21" s="237" t="s">
        <v>357</v>
      </c>
      <c r="AV21">
        <v>10</v>
      </c>
      <c r="EC21" s="291" t="s">
        <v>77</v>
      </c>
    </row>
    <row r="22" spans="2:133" ht="20.100000000000001" customHeight="1" x14ac:dyDescent="0.2">
      <c r="B22" s="291" t="s">
        <v>78</v>
      </c>
      <c r="C22" s="328">
        <v>320</v>
      </c>
      <c r="D22" s="329">
        <v>18</v>
      </c>
      <c r="E22" s="329">
        <v>2.2000000000000002</v>
      </c>
      <c r="F22" s="110">
        <f t="shared" si="7"/>
        <v>0.8</v>
      </c>
      <c r="G22" s="329">
        <v>3.4</v>
      </c>
      <c r="H22" s="249" t="s">
        <v>499</v>
      </c>
      <c r="Y22" s="191"/>
      <c r="Z22" s="191" t="str">
        <f t="shared" si="0"/>
        <v>LOCKT0</v>
      </c>
      <c r="AA22" s="3" t="str">
        <f t="shared" si="1"/>
        <v>LOCK-T 125 290</v>
      </c>
      <c r="AB22" s="3">
        <v>125</v>
      </c>
      <c r="AC22" s="3">
        <v>290</v>
      </c>
      <c r="AD22" s="3" t="str">
        <f t="shared" si="2"/>
        <v>Lock-T 290</v>
      </c>
      <c r="AE22" s="3">
        <f t="shared" si="3"/>
        <v>25</v>
      </c>
      <c r="AF22" s="3">
        <f t="shared" si="4"/>
        <v>5</v>
      </c>
      <c r="AG22">
        <f t="shared" si="5"/>
        <v>45</v>
      </c>
      <c r="AH22" s="76">
        <v>8</v>
      </c>
      <c r="AI22" t="s">
        <v>281</v>
      </c>
      <c r="AJ22" t="s">
        <v>326</v>
      </c>
      <c r="AK22" s="237" t="s">
        <v>341</v>
      </c>
      <c r="AL22" s="228">
        <v>4</v>
      </c>
      <c r="AP22" s="241">
        <v>4</v>
      </c>
      <c r="AT22">
        <v>2</v>
      </c>
      <c r="AU22" s="237" t="s">
        <v>357</v>
      </c>
      <c r="AV22">
        <v>10</v>
      </c>
      <c r="EC22" s="291" t="s">
        <v>78</v>
      </c>
    </row>
    <row r="23" spans="2:133" ht="20.100000000000001" customHeight="1" x14ac:dyDescent="0.2">
      <c r="B23" s="291" t="s">
        <v>79</v>
      </c>
      <c r="C23" s="328">
        <v>330</v>
      </c>
      <c r="D23" s="329">
        <v>19</v>
      </c>
      <c r="E23" s="329">
        <v>2.2999999999999998</v>
      </c>
      <c r="F23" s="110">
        <f t="shared" si="7"/>
        <v>0.8</v>
      </c>
      <c r="G23" s="329">
        <v>3.6</v>
      </c>
      <c r="H23" s="249" t="s">
        <v>499</v>
      </c>
      <c r="R23">
        <f>6*17.5</f>
        <v>105</v>
      </c>
      <c r="Y23" s="191"/>
      <c r="Z23" s="191" t="str">
        <f t="shared" si="0"/>
        <v>LOCKT0</v>
      </c>
      <c r="AA23" s="3" t="str">
        <f>CONCATENATE("LOCKTFLOOR"," ",AC23)</f>
        <v>LOCKTFLOOR 100</v>
      </c>
      <c r="AB23" s="3">
        <v>1260</v>
      </c>
      <c r="AC23" s="3">
        <v>100</v>
      </c>
      <c r="AD23" s="3" t="str">
        <f>VLOOKUP(AC23,$J$14:$U$15,12,FALSE)</f>
        <v>Lock-T 100 FLOOR</v>
      </c>
      <c r="AE23" s="3">
        <f>VLOOKUP(AD23,$I$4:$K$15,3,FALSE)</f>
        <v>210</v>
      </c>
      <c r="AF23" s="3">
        <f t="shared" si="4"/>
        <v>6</v>
      </c>
      <c r="AG23">
        <f>VLOOKUP(AD23,$I$4:$M$15,5,FALSE)*AF23</f>
        <v>48</v>
      </c>
      <c r="AH23" s="76">
        <v>6</v>
      </c>
      <c r="AI23" t="s">
        <v>282</v>
      </c>
      <c r="EC23" s="291" t="s">
        <v>79</v>
      </c>
    </row>
    <row r="24" spans="2:133" ht="20.100000000000001" customHeight="1" x14ac:dyDescent="0.2">
      <c r="B24" s="291" t="s">
        <v>80</v>
      </c>
      <c r="C24" s="147">
        <v>340</v>
      </c>
      <c r="D24" s="110">
        <v>20</v>
      </c>
      <c r="E24" s="110">
        <v>2.4</v>
      </c>
      <c r="F24" s="110">
        <f t="shared" si="7"/>
        <v>0.8</v>
      </c>
      <c r="G24" s="110">
        <v>3.8</v>
      </c>
      <c r="H24" s="249" t="s">
        <v>499</v>
      </c>
      <c r="R24">
        <f>25*6</f>
        <v>150</v>
      </c>
      <c r="Y24" s="191"/>
      <c r="Z24" s="191" t="str">
        <f t="shared" si="0"/>
        <v>LOCKT0</v>
      </c>
      <c r="AA24" s="3" t="str">
        <f>CONCATENATE("LOCKTFLOOR"," ",AC24)</f>
        <v>LOCKTFLOOR 135</v>
      </c>
      <c r="AB24" s="3">
        <v>1200</v>
      </c>
      <c r="AC24" s="3">
        <v>135</v>
      </c>
      <c r="AD24" s="3" t="str">
        <f>VLOOKUP(AC24,$J$14:$U$15,12,FALSE)</f>
        <v>Lock-T 135 FLOOR</v>
      </c>
      <c r="AE24" s="3">
        <f>VLOOKUP(AD24,$I$4:$K$15,3,FALSE)</f>
        <v>300</v>
      </c>
      <c r="AF24" s="3">
        <f t="shared" si="4"/>
        <v>4</v>
      </c>
      <c r="AG24">
        <f>VLOOKUP(AD24,$I$4:$M$15,5,FALSE)*AF24</f>
        <v>32</v>
      </c>
      <c r="AH24" s="76">
        <v>6</v>
      </c>
      <c r="AI24" t="s">
        <v>282</v>
      </c>
      <c r="EC24" s="291" t="s">
        <v>80</v>
      </c>
    </row>
    <row r="25" spans="2:133" ht="20.100000000000001" customHeight="1" x14ac:dyDescent="0.2">
      <c r="B25" s="291" t="s">
        <v>0</v>
      </c>
      <c r="C25" s="328">
        <v>350</v>
      </c>
      <c r="D25" s="329">
        <v>21</v>
      </c>
      <c r="E25" s="329">
        <v>2.5</v>
      </c>
      <c r="F25" s="110">
        <f t="shared" si="7"/>
        <v>0.8</v>
      </c>
      <c r="G25" s="329">
        <v>4</v>
      </c>
      <c r="H25" s="249" t="s">
        <v>499</v>
      </c>
      <c r="I25" s="2"/>
      <c r="J25" s="2"/>
      <c r="K25" s="2"/>
      <c r="L25" s="2"/>
      <c r="EC25" s="291" t="s">
        <v>0</v>
      </c>
    </row>
    <row r="26" spans="2:133" ht="20.100000000000001" customHeight="1" x14ac:dyDescent="0.2">
      <c r="B26" s="291" t="s">
        <v>81</v>
      </c>
      <c r="C26" s="328">
        <v>360</v>
      </c>
      <c r="D26" s="329">
        <v>22</v>
      </c>
      <c r="E26" s="329">
        <v>2.5</v>
      </c>
      <c r="F26" s="110">
        <f t="shared" si="7"/>
        <v>0.8</v>
      </c>
      <c r="G26" s="329">
        <v>4</v>
      </c>
      <c r="H26" s="249" t="s">
        <v>499</v>
      </c>
      <c r="I26" s="2"/>
      <c r="J26" s="41"/>
      <c r="K26" s="41"/>
      <c r="L26" s="41"/>
      <c r="EC26" s="291" t="s">
        <v>81</v>
      </c>
    </row>
    <row r="27" spans="2:133" ht="20.100000000000001" customHeight="1" x14ac:dyDescent="0.2">
      <c r="B27" s="291" t="s">
        <v>82</v>
      </c>
      <c r="C27" s="328">
        <v>380</v>
      </c>
      <c r="D27" s="329">
        <v>24</v>
      </c>
      <c r="E27" s="329">
        <v>2.7</v>
      </c>
      <c r="F27" s="110">
        <f t="shared" si="7"/>
        <v>0.8</v>
      </c>
      <c r="G27" s="329">
        <v>4</v>
      </c>
      <c r="H27" s="249" t="s">
        <v>499</v>
      </c>
      <c r="I27" s="2"/>
      <c r="J27" s="41"/>
      <c r="K27" s="41"/>
      <c r="L27" s="41"/>
      <c r="EC27" s="291" t="s">
        <v>82</v>
      </c>
    </row>
    <row r="28" spans="2:133" ht="20.100000000000001" customHeight="1" x14ac:dyDescent="0.2">
      <c r="B28" s="291" t="s">
        <v>83</v>
      </c>
      <c r="C28" s="328">
        <v>390</v>
      </c>
      <c r="D28" s="329">
        <v>25</v>
      </c>
      <c r="E28" s="329">
        <v>2.7</v>
      </c>
      <c r="F28" s="110">
        <f t="shared" si="7"/>
        <v>0.8</v>
      </c>
      <c r="G28" s="329">
        <v>4</v>
      </c>
      <c r="H28" s="249" t="s">
        <v>499</v>
      </c>
      <c r="I28" s="2"/>
      <c r="J28" s="41"/>
      <c r="K28" s="41"/>
      <c r="L28" s="41"/>
      <c r="EC28" s="291" t="s">
        <v>83</v>
      </c>
    </row>
    <row r="29" spans="2:133" ht="20.100000000000001" customHeight="1" x14ac:dyDescent="0.2">
      <c r="B29" s="291" t="s">
        <v>84</v>
      </c>
      <c r="C29" s="147">
        <v>400</v>
      </c>
      <c r="D29" s="110">
        <v>27</v>
      </c>
      <c r="E29" s="110">
        <v>2.8</v>
      </c>
      <c r="F29" s="110">
        <f t="shared" si="7"/>
        <v>0.8</v>
      </c>
      <c r="G29" s="110">
        <v>4</v>
      </c>
      <c r="H29" s="249" t="s">
        <v>499</v>
      </c>
      <c r="I29" s="2"/>
      <c r="J29" s="2"/>
      <c r="K29" s="2"/>
      <c r="L29" s="2"/>
      <c r="EC29" s="291" t="s">
        <v>84</v>
      </c>
    </row>
    <row r="30" spans="2:133" ht="20.100000000000001" customHeight="1" x14ac:dyDescent="0.2">
      <c r="B30" s="291" t="s">
        <v>85</v>
      </c>
      <c r="C30" s="328">
        <v>410</v>
      </c>
      <c r="D30" s="329">
        <v>29</v>
      </c>
      <c r="E30" s="329">
        <v>2.9</v>
      </c>
      <c r="F30" s="110">
        <f t="shared" si="7"/>
        <v>0.8</v>
      </c>
      <c r="G30" s="329">
        <v>4</v>
      </c>
      <c r="H30" s="249" t="s">
        <v>499</v>
      </c>
      <c r="AB30" t="s">
        <v>375</v>
      </c>
      <c r="AC30" t="s">
        <v>375</v>
      </c>
      <c r="EC30" s="291" t="s">
        <v>85</v>
      </c>
    </row>
    <row r="31" spans="2:133" ht="20.100000000000001" customHeight="1" x14ac:dyDescent="0.2">
      <c r="B31" s="291" t="s">
        <v>5</v>
      </c>
      <c r="C31" s="328">
        <v>430</v>
      </c>
      <c r="D31" s="329">
        <v>30</v>
      </c>
      <c r="E31" s="329">
        <v>3</v>
      </c>
      <c r="F31" s="110">
        <f t="shared" si="7"/>
        <v>0.8</v>
      </c>
      <c r="G31" s="329">
        <v>4</v>
      </c>
      <c r="H31" s="249" t="s">
        <v>499</v>
      </c>
      <c r="J31" s="2"/>
      <c r="K31" s="2"/>
      <c r="L31" s="2"/>
      <c r="AB31" s="176" t="s">
        <v>376</v>
      </c>
      <c r="AC31" t="s">
        <v>377</v>
      </c>
      <c r="EC31" s="291" t="s">
        <v>5</v>
      </c>
    </row>
    <row r="32" spans="2:133" ht="20.100000000000001" customHeight="1" x14ac:dyDescent="0.2">
      <c r="B32" s="291"/>
      <c r="C32" s="328"/>
      <c r="D32" s="329"/>
      <c r="E32" s="329"/>
      <c r="F32" s="329"/>
      <c r="G32" s="329"/>
      <c r="H32" s="249"/>
      <c r="I32" s="2"/>
      <c r="AA32" t="s">
        <v>356</v>
      </c>
      <c r="AB32">
        <v>0</v>
      </c>
      <c r="AC32">
        <v>0</v>
      </c>
      <c r="EC32" s="291"/>
    </row>
    <row r="33" spans="2:133" ht="20.100000000000001" customHeight="1" x14ac:dyDescent="0.2">
      <c r="B33" s="291" t="s">
        <v>2</v>
      </c>
      <c r="C33" s="328">
        <v>480</v>
      </c>
      <c r="D33" s="329">
        <v>35</v>
      </c>
      <c r="E33" s="329">
        <v>2.2000000000000002</v>
      </c>
      <c r="F33" s="329">
        <f>2*0.8</f>
        <v>1.6</v>
      </c>
      <c r="G33" s="329">
        <v>4.2</v>
      </c>
      <c r="H33" s="169"/>
      <c r="I33" s="2"/>
      <c r="AA33" t="s">
        <v>358</v>
      </c>
      <c r="AB33" s="228">
        <v>1</v>
      </c>
      <c r="AC33">
        <v>1</v>
      </c>
      <c r="EC33" s="291" t="s">
        <v>2</v>
      </c>
    </row>
    <row r="34" spans="2:133" ht="20.100000000000001" customHeight="1" thickBot="1" x14ac:dyDescent="0.25">
      <c r="B34" s="291" t="s">
        <v>6</v>
      </c>
      <c r="C34" s="328">
        <v>350</v>
      </c>
      <c r="D34" s="329">
        <v>24</v>
      </c>
      <c r="E34" s="329">
        <v>2.5</v>
      </c>
      <c r="F34" s="110">
        <f>2*0.5</f>
        <v>1</v>
      </c>
      <c r="G34" s="329">
        <v>3.5</v>
      </c>
      <c r="H34" s="169"/>
      <c r="I34" s="425" t="s">
        <v>163</v>
      </c>
      <c r="J34" s="425"/>
      <c r="K34" s="425"/>
      <c r="L34" s="425"/>
      <c r="M34" s="425"/>
      <c r="N34" s="425"/>
      <c r="O34" s="425"/>
      <c r="AA34" t="s">
        <v>359</v>
      </c>
      <c r="AB34" s="228">
        <v>1</v>
      </c>
      <c r="AC34">
        <v>1</v>
      </c>
      <c r="EC34" s="291"/>
    </row>
    <row r="35" spans="2:133" ht="20.100000000000001" customHeight="1" thickBot="1" x14ac:dyDescent="0.25">
      <c r="B35" s="248"/>
      <c r="E35" s="330"/>
      <c r="F35" s="330"/>
      <c r="H35" s="249"/>
      <c r="I35" s="289" t="s">
        <v>162</v>
      </c>
      <c r="J35" s="118">
        <v>1</v>
      </c>
      <c r="K35" s="118">
        <v>2</v>
      </c>
      <c r="L35" s="118">
        <v>3</v>
      </c>
      <c r="M35" s="118">
        <v>4</v>
      </c>
      <c r="N35" s="118">
        <v>5</v>
      </c>
      <c r="O35" s="119">
        <v>6</v>
      </c>
      <c r="AA35" t="s">
        <v>360</v>
      </c>
      <c r="AB35" s="228">
        <v>1</v>
      </c>
      <c r="AC35">
        <v>1</v>
      </c>
      <c r="EC35" s="248"/>
    </row>
    <row r="36" spans="2:133" ht="20.100000000000001" customHeight="1" x14ac:dyDescent="0.2">
      <c r="B36" s="295" t="s">
        <v>492</v>
      </c>
      <c r="C36" s="295">
        <v>530</v>
      </c>
      <c r="D36" s="296">
        <v>23</v>
      </c>
      <c r="E36" s="296">
        <v>8</v>
      </c>
      <c r="F36" s="296">
        <v>1.2</v>
      </c>
      <c r="G36" s="296">
        <v>3</v>
      </c>
      <c r="H36" s="298"/>
      <c r="I36" s="283" t="s">
        <v>56</v>
      </c>
      <c r="J36" s="115">
        <v>0.7</v>
      </c>
      <c r="K36" s="115">
        <v>1.8</v>
      </c>
      <c r="L36" s="115">
        <v>3.1</v>
      </c>
      <c r="M36" s="115">
        <v>4.8</v>
      </c>
      <c r="N36" s="115">
        <v>6.6</v>
      </c>
      <c r="O36" s="116">
        <v>8.6999999999999993</v>
      </c>
      <c r="AA36" t="s">
        <v>361</v>
      </c>
      <c r="AB36" s="228">
        <v>1</v>
      </c>
      <c r="AC36">
        <v>1</v>
      </c>
      <c r="EC36" s="291" t="s">
        <v>492</v>
      </c>
    </row>
    <row r="37" spans="2:133" ht="20.100000000000001" customHeight="1" x14ac:dyDescent="0.2">
      <c r="B37" s="295" t="s">
        <v>493</v>
      </c>
      <c r="C37" s="295"/>
      <c r="D37" s="296"/>
      <c r="E37" s="296"/>
      <c r="F37" s="296"/>
      <c r="G37" s="296"/>
      <c r="H37" s="298"/>
      <c r="I37" s="284" t="s">
        <v>58</v>
      </c>
      <c r="J37" s="78">
        <v>1.3</v>
      </c>
      <c r="K37" s="78">
        <v>2.8</v>
      </c>
      <c r="L37" s="78">
        <v>4.8</v>
      </c>
      <c r="M37" s="78">
        <v>7.1</v>
      </c>
      <c r="N37" s="78">
        <v>9.6999999999999993</v>
      </c>
      <c r="O37" s="112">
        <v>12.6</v>
      </c>
      <c r="AA37" t="s">
        <v>362</v>
      </c>
      <c r="AB37" s="228">
        <v>1</v>
      </c>
      <c r="AC37">
        <v>1</v>
      </c>
      <c r="BL37" s="248"/>
      <c r="EC37" s="291" t="s">
        <v>493</v>
      </c>
    </row>
    <row r="38" spans="2:133" ht="20.100000000000001" customHeight="1" x14ac:dyDescent="0.2">
      <c r="B38" s="295" t="s">
        <v>494</v>
      </c>
      <c r="C38" s="295"/>
      <c r="D38" s="296"/>
      <c r="E38" s="296"/>
      <c r="F38" s="296"/>
      <c r="G38" s="296"/>
      <c r="H38" s="298"/>
      <c r="I38" s="284" t="s">
        <v>59</v>
      </c>
      <c r="J38" s="78">
        <v>2</v>
      </c>
      <c r="K38" s="78">
        <v>4.2</v>
      </c>
      <c r="L38" s="78">
        <v>6.9</v>
      </c>
      <c r="M38" s="78">
        <v>9.9</v>
      </c>
      <c r="N38" s="78">
        <v>12.3</v>
      </c>
      <c r="O38" s="112">
        <v>17</v>
      </c>
      <c r="P38" s="110"/>
      <c r="Q38" s="110"/>
      <c r="R38" s="110"/>
      <c r="AA38" t="s">
        <v>363</v>
      </c>
      <c r="AB38" s="228">
        <v>1</v>
      </c>
      <c r="AC38">
        <v>1</v>
      </c>
      <c r="BL38" s="248"/>
      <c r="EC38" s="291" t="s">
        <v>494</v>
      </c>
    </row>
    <row r="39" spans="2:133" ht="20.100000000000001" customHeight="1" x14ac:dyDescent="0.2">
      <c r="B39" s="295" t="s">
        <v>495</v>
      </c>
      <c r="C39" s="295"/>
      <c r="D39" s="296"/>
      <c r="E39" s="296"/>
      <c r="F39" s="296"/>
      <c r="G39" s="296"/>
      <c r="H39" s="298"/>
      <c r="I39" s="284" t="s">
        <v>61</v>
      </c>
      <c r="J39" s="78">
        <v>1.2</v>
      </c>
      <c r="K39" s="78">
        <v>2.7</v>
      </c>
      <c r="L39" s="78">
        <v>4.5</v>
      </c>
      <c r="M39" s="78">
        <v>6.7</v>
      </c>
      <c r="N39" s="78">
        <v>9.1999999999999993</v>
      </c>
      <c r="O39" s="112">
        <v>12.1</v>
      </c>
      <c r="P39" s="110"/>
      <c r="Q39" s="110"/>
      <c r="R39" s="110"/>
      <c r="AA39" t="s">
        <v>364</v>
      </c>
      <c r="AB39" s="228">
        <v>2</v>
      </c>
      <c r="AC39">
        <v>1</v>
      </c>
      <c r="BL39" s="248"/>
      <c r="EC39" s="291" t="s">
        <v>495</v>
      </c>
    </row>
    <row r="40" spans="2:133" ht="19.5" customHeight="1" x14ac:dyDescent="0.2">
      <c r="B40" s="295" t="s">
        <v>496</v>
      </c>
      <c r="C40" s="295"/>
      <c r="D40" s="296"/>
      <c r="E40" s="296"/>
      <c r="F40" s="296"/>
      <c r="G40" s="296"/>
      <c r="H40" s="298"/>
      <c r="I40" s="284" t="s">
        <v>63</v>
      </c>
      <c r="J40" s="78">
        <v>1.8</v>
      </c>
      <c r="K40" s="78">
        <v>4</v>
      </c>
      <c r="L40" s="78">
        <v>6.5</v>
      </c>
      <c r="M40" s="78">
        <v>9.3000000000000007</v>
      </c>
      <c r="N40" s="78">
        <v>12.6</v>
      </c>
      <c r="O40" s="112">
        <v>16.2</v>
      </c>
      <c r="P40" s="110"/>
      <c r="Q40" s="110"/>
      <c r="R40" s="110"/>
      <c r="AA40" t="s">
        <v>365</v>
      </c>
      <c r="AB40" s="228">
        <v>2</v>
      </c>
      <c r="AC40">
        <v>1</v>
      </c>
      <c r="BL40" s="248"/>
      <c r="EC40" s="291" t="s">
        <v>496</v>
      </c>
    </row>
    <row r="41" spans="2:133" ht="20.100000000000001" customHeight="1" x14ac:dyDescent="0.2">
      <c r="B41" s="291"/>
      <c r="H41" s="249"/>
      <c r="I41" s="284" t="s">
        <v>65</v>
      </c>
      <c r="J41" s="78">
        <v>2.9</v>
      </c>
      <c r="K41" s="78">
        <v>6.1</v>
      </c>
      <c r="L41" s="78">
        <v>9.6</v>
      </c>
      <c r="M41" s="78">
        <v>13.4</v>
      </c>
      <c r="N41" s="78">
        <v>17.7</v>
      </c>
      <c r="O41" s="112">
        <v>22.4</v>
      </c>
      <c r="P41" s="110"/>
      <c r="Q41" s="110"/>
      <c r="R41" s="110"/>
      <c r="AA41" t="s">
        <v>366</v>
      </c>
      <c r="AB41" s="228">
        <v>3</v>
      </c>
      <c r="AC41">
        <v>2</v>
      </c>
    </row>
    <row r="42" spans="2:133" ht="20.100000000000001" customHeight="1" x14ac:dyDescent="0.2">
      <c r="B42" s="426" t="str">
        <f>Translation!B16</f>
        <v>The pre-drill is not required for fastening screws on main and/or secondary element, with characteristic density ρk≤420 kg/ m3. The pre-drill is mandatory on primary or secondary beam with characteristic density ρk&gt;420 kg/m3. For screws on column, pre-drilling is always mandatory.</v>
      </c>
      <c r="C42" s="427"/>
      <c r="D42" s="427"/>
      <c r="E42" s="427"/>
      <c r="F42" s="427"/>
      <c r="G42" s="427"/>
      <c r="H42" s="428"/>
      <c r="I42" s="284" t="s">
        <v>124</v>
      </c>
      <c r="J42" s="78">
        <v>3.5</v>
      </c>
      <c r="K42" s="78">
        <v>7.1</v>
      </c>
      <c r="L42" s="78">
        <v>11.1</v>
      </c>
      <c r="M42" s="78">
        <v>15.4</v>
      </c>
      <c r="N42" s="78">
        <v>20.100000000000001</v>
      </c>
      <c r="O42" s="112">
        <v>25.3</v>
      </c>
      <c r="P42" s="110"/>
      <c r="Q42" s="110"/>
      <c r="R42" s="110"/>
      <c r="AA42" t="s">
        <v>367</v>
      </c>
      <c r="AB42" s="228">
        <v>2</v>
      </c>
      <c r="AC42">
        <v>1</v>
      </c>
    </row>
    <row r="43" spans="2:133" ht="20.100000000000001" customHeight="1" x14ac:dyDescent="0.2">
      <c r="B43" s="426"/>
      <c r="C43" s="427"/>
      <c r="D43" s="427"/>
      <c r="E43" s="427"/>
      <c r="F43" s="427"/>
      <c r="G43" s="427"/>
      <c r="H43" s="428"/>
      <c r="I43" s="284" t="s">
        <v>125</v>
      </c>
      <c r="J43" s="78">
        <v>4.2</v>
      </c>
      <c r="K43" s="78">
        <v>8.5</v>
      </c>
      <c r="L43" s="78">
        <v>13.1</v>
      </c>
      <c r="M43" s="78">
        <v>18.100000000000001</v>
      </c>
      <c r="N43" s="78">
        <v>23.4</v>
      </c>
      <c r="O43" s="112">
        <v>29.3</v>
      </c>
      <c r="P43" s="110"/>
      <c r="Q43" s="110"/>
      <c r="R43" s="110"/>
      <c r="AA43" t="s">
        <v>354</v>
      </c>
      <c r="AB43" s="228">
        <v>3</v>
      </c>
      <c r="AC43">
        <v>2</v>
      </c>
    </row>
    <row r="44" spans="2:133" ht="20.100000000000001" customHeight="1" thickBot="1" x14ac:dyDescent="0.25">
      <c r="B44" s="429"/>
      <c r="C44" s="430"/>
      <c r="D44" s="430"/>
      <c r="E44" s="430"/>
      <c r="F44" s="430"/>
      <c r="G44" s="430"/>
      <c r="H44" s="431"/>
      <c r="I44" s="288" t="s">
        <v>126</v>
      </c>
      <c r="J44" s="111">
        <v>4.9000000000000004</v>
      </c>
      <c r="K44" s="111">
        <v>10</v>
      </c>
      <c r="L44" s="111">
        <v>15.3</v>
      </c>
      <c r="M44" s="111">
        <v>20.9</v>
      </c>
      <c r="N44" s="111">
        <v>26.9</v>
      </c>
      <c r="O44" s="113">
        <v>33.4</v>
      </c>
      <c r="P44" s="110"/>
      <c r="Q44" s="110"/>
      <c r="R44" s="110"/>
      <c r="AA44" t="s">
        <v>368</v>
      </c>
      <c r="AB44" s="228">
        <v>4</v>
      </c>
      <c r="AC44">
        <v>2</v>
      </c>
    </row>
    <row r="45" spans="2:133" ht="20.100000000000001" customHeight="1" x14ac:dyDescent="0.2">
      <c r="I45" s="30" t="s">
        <v>67</v>
      </c>
      <c r="J45" s="165">
        <v>7.1</v>
      </c>
      <c r="K45" s="165">
        <v>15.4</v>
      </c>
      <c r="L45" s="165">
        <v>23.6</v>
      </c>
      <c r="M45" s="165">
        <v>31.7</v>
      </c>
      <c r="N45" s="165">
        <v>39.700000000000003</v>
      </c>
      <c r="O45" s="112">
        <v>47.8</v>
      </c>
      <c r="P45" s="110"/>
      <c r="Q45" s="110"/>
      <c r="R45" s="110"/>
      <c r="AA45" t="s">
        <v>369</v>
      </c>
      <c r="AB45" s="228">
        <v>2</v>
      </c>
      <c r="AC45">
        <v>1</v>
      </c>
    </row>
    <row r="46" spans="2:133" ht="20.100000000000001" hidden="1" customHeight="1" thickBot="1" x14ac:dyDescent="0.25">
      <c r="I46" s="34" t="s">
        <v>69</v>
      </c>
      <c r="J46" s="167">
        <v>5.9</v>
      </c>
      <c r="K46" s="167">
        <v>15.2</v>
      </c>
      <c r="L46" s="167">
        <v>23.5</v>
      </c>
      <c r="M46" s="167">
        <v>31.6</v>
      </c>
      <c r="N46" s="167">
        <v>39.700000000000003</v>
      </c>
      <c r="O46" s="168">
        <v>47.7</v>
      </c>
      <c r="P46" s="110"/>
      <c r="Q46" s="110"/>
      <c r="R46" s="110"/>
      <c r="AA46" t="s">
        <v>370</v>
      </c>
      <c r="AB46" s="228">
        <v>3</v>
      </c>
      <c r="AC46">
        <v>2</v>
      </c>
    </row>
    <row r="47" spans="2:133" ht="20.100000000000001" hidden="1" customHeight="1" x14ac:dyDescent="0.2">
      <c r="E47" s="76" t="s">
        <v>2</v>
      </c>
      <c r="F47" s="76" t="s">
        <v>477</v>
      </c>
      <c r="G47" s="76" t="s">
        <v>478</v>
      </c>
      <c r="P47" s="110"/>
      <c r="Q47" s="110"/>
      <c r="R47" s="110"/>
      <c r="AA47" t="s">
        <v>371</v>
      </c>
      <c r="AB47" s="228">
        <v>4</v>
      </c>
      <c r="AC47">
        <v>2</v>
      </c>
    </row>
    <row r="48" spans="2:133" ht="20.100000000000001" hidden="1" customHeight="1" thickBot="1" x14ac:dyDescent="0.25">
      <c r="E48" s="76" t="s">
        <v>6</v>
      </c>
      <c r="F48" s="76" t="s">
        <v>477</v>
      </c>
      <c r="G48" t="s">
        <v>476</v>
      </c>
      <c r="I48" s="425" t="s">
        <v>164</v>
      </c>
      <c r="J48" s="425"/>
      <c r="K48" s="425"/>
      <c r="L48" s="425"/>
      <c r="M48" s="425"/>
      <c r="N48" s="425"/>
      <c r="O48" s="425"/>
      <c r="AA48" t="s">
        <v>372</v>
      </c>
      <c r="AB48" s="228">
        <v>2</v>
      </c>
      <c r="AC48">
        <v>1</v>
      </c>
    </row>
    <row r="49" spans="6:29" ht="20.100000000000001" hidden="1" customHeight="1" thickBot="1" x14ac:dyDescent="0.25">
      <c r="I49" s="117" t="s">
        <v>162</v>
      </c>
      <c r="J49" s="118">
        <v>1</v>
      </c>
      <c r="K49" s="118">
        <v>2</v>
      </c>
      <c r="L49" s="118">
        <v>3</v>
      </c>
      <c r="M49" s="118">
        <v>4</v>
      </c>
      <c r="N49" s="118">
        <v>5</v>
      </c>
      <c r="O49" s="119">
        <v>6</v>
      </c>
      <c r="AA49" t="s">
        <v>373</v>
      </c>
      <c r="AB49" s="228">
        <v>3</v>
      </c>
      <c r="AC49">
        <v>2</v>
      </c>
    </row>
    <row r="50" spans="6:29" ht="20.100000000000001" hidden="1" customHeight="1" thickBot="1" x14ac:dyDescent="0.25">
      <c r="I50" s="114" t="s">
        <v>56</v>
      </c>
      <c r="J50" s="115">
        <v>1</v>
      </c>
      <c r="K50" s="115">
        <v>6.1</v>
      </c>
      <c r="L50" s="115">
        <v>15</v>
      </c>
      <c r="M50" s="115">
        <v>27</v>
      </c>
      <c r="N50" s="115">
        <v>42</v>
      </c>
      <c r="O50" s="116">
        <v>62</v>
      </c>
      <c r="AA50" t="s">
        <v>374</v>
      </c>
      <c r="AB50" s="228">
        <v>4</v>
      </c>
      <c r="AC50">
        <v>2</v>
      </c>
    </row>
    <row r="51" spans="6:29" ht="20.100000000000001" hidden="1" customHeight="1" x14ac:dyDescent="0.2">
      <c r="F51" s="290" t="s">
        <v>231</v>
      </c>
      <c r="I51" s="1" t="s">
        <v>58</v>
      </c>
      <c r="J51" s="78">
        <v>1.1000000000000001</v>
      </c>
      <c r="K51" s="78">
        <v>8.9</v>
      </c>
      <c r="L51" s="78">
        <v>22</v>
      </c>
      <c r="M51" s="78">
        <v>41</v>
      </c>
      <c r="N51" s="78">
        <v>66</v>
      </c>
      <c r="O51" s="112">
        <v>96</v>
      </c>
    </row>
    <row r="52" spans="6:29" ht="20.100000000000001" hidden="1" customHeight="1" x14ac:dyDescent="0.2">
      <c r="I52" s="1" t="s">
        <v>59</v>
      </c>
      <c r="J52" s="78">
        <v>2.2999999999999998</v>
      </c>
      <c r="K52" s="78">
        <v>14</v>
      </c>
      <c r="L52" s="78">
        <v>34</v>
      </c>
      <c r="M52" s="78">
        <v>61</v>
      </c>
      <c r="N52" s="78">
        <v>97</v>
      </c>
      <c r="O52" s="112">
        <v>141</v>
      </c>
    </row>
    <row r="53" spans="6:29" ht="20.100000000000001" customHeight="1" x14ac:dyDescent="0.2">
      <c r="I53" s="1" t="s">
        <v>61</v>
      </c>
      <c r="J53" s="78">
        <v>2.1</v>
      </c>
      <c r="K53" s="78">
        <v>13</v>
      </c>
      <c r="L53" s="78">
        <v>32</v>
      </c>
      <c r="M53" s="78">
        <v>58</v>
      </c>
      <c r="N53" s="78">
        <v>92</v>
      </c>
      <c r="O53" s="112">
        <v>134</v>
      </c>
    </row>
    <row r="54" spans="6:29" ht="20.100000000000001" customHeight="1" x14ac:dyDescent="0.2">
      <c r="I54" s="1" t="s">
        <v>63</v>
      </c>
      <c r="J54" s="78">
        <v>4.2</v>
      </c>
      <c r="K54" s="78">
        <v>21</v>
      </c>
      <c r="L54" s="78">
        <v>50</v>
      </c>
      <c r="M54" s="78">
        <v>89</v>
      </c>
      <c r="N54" s="78">
        <v>140</v>
      </c>
      <c r="O54" s="112">
        <v>202</v>
      </c>
      <c r="S54" t="e">
        <f>INDEX(I35:O44,MATCH(Q54,I35:I44,0),MATCH(Q55,I35:O35,0))</f>
        <v>#N/A</v>
      </c>
    </row>
    <row r="55" spans="6:29" ht="20.100000000000001" customHeight="1" x14ac:dyDescent="0.2">
      <c r="I55" s="1" t="s">
        <v>65</v>
      </c>
      <c r="J55" s="78">
        <v>6.8</v>
      </c>
      <c r="K55" s="78">
        <v>35</v>
      </c>
      <c r="L55" s="78">
        <v>80</v>
      </c>
      <c r="M55" s="78">
        <v>144</v>
      </c>
      <c r="N55" s="78">
        <v>226</v>
      </c>
      <c r="O55" s="112">
        <v>326</v>
      </c>
      <c r="Q55" s="73"/>
    </row>
    <row r="56" spans="6:29" ht="20.100000000000001" customHeight="1" x14ac:dyDescent="0.2">
      <c r="I56" s="1" t="s">
        <v>124</v>
      </c>
      <c r="J56" s="78">
        <v>7.1</v>
      </c>
      <c r="K56" s="78">
        <v>39</v>
      </c>
      <c r="L56" s="78">
        <v>92</v>
      </c>
      <c r="M56" s="78">
        <v>166</v>
      </c>
      <c r="N56" s="78">
        <v>261</v>
      </c>
      <c r="O56" s="112">
        <v>378</v>
      </c>
    </row>
    <row r="57" spans="6:29" ht="20.100000000000001" customHeight="1" x14ac:dyDescent="0.2">
      <c r="I57" s="1" t="s">
        <v>125</v>
      </c>
      <c r="J57" s="78">
        <v>9.4</v>
      </c>
      <c r="K57" s="78">
        <v>48</v>
      </c>
      <c r="L57" s="78">
        <v>111</v>
      </c>
      <c r="M57" s="78">
        <v>199</v>
      </c>
      <c r="N57" s="78">
        <v>312</v>
      </c>
      <c r="O57" s="112">
        <v>450</v>
      </c>
    </row>
    <row r="58" spans="6:29" ht="20.100000000000001" customHeight="1" thickBot="1" x14ac:dyDescent="0.25">
      <c r="I58" s="34" t="s">
        <v>126</v>
      </c>
      <c r="J58" s="111">
        <v>10</v>
      </c>
      <c r="K58" s="111">
        <v>54</v>
      </c>
      <c r="L58" s="111">
        <v>126</v>
      </c>
      <c r="M58" s="111">
        <v>227</v>
      </c>
      <c r="N58" s="111">
        <v>357</v>
      </c>
      <c r="O58" s="113">
        <v>516</v>
      </c>
    </row>
    <row r="59" spans="6:29" ht="20.100000000000001" customHeight="1" x14ac:dyDescent="0.2">
      <c r="I59" s="30" t="s">
        <v>67</v>
      </c>
      <c r="J59" s="165">
        <v>10.7</v>
      </c>
      <c r="K59" s="165">
        <v>117</v>
      </c>
      <c r="L59" s="165">
        <v>313</v>
      </c>
      <c r="M59" s="165">
        <v>600</v>
      </c>
      <c r="N59" s="165">
        <v>978</v>
      </c>
      <c r="O59" s="166">
        <v>1447</v>
      </c>
    </row>
    <row r="60" spans="6:29" ht="20.100000000000001" customHeight="1" thickBot="1" x14ac:dyDescent="0.25">
      <c r="I60" s="34" t="s">
        <v>69</v>
      </c>
      <c r="J60" s="167">
        <v>15.1</v>
      </c>
      <c r="K60" s="167">
        <v>160</v>
      </c>
      <c r="L60" s="167">
        <v>428</v>
      </c>
      <c r="M60" s="167">
        <v>820</v>
      </c>
      <c r="N60" s="167">
        <v>1335</v>
      </c>
      <c r="O60" s="168">
        <v>1973</v>
      </c>
    </row>
    <row r="61" spans="6:29" ht="20.100000000000001" customHeight="1" x14ac:dyDescent="0.2"/>
    <row r="62" spans="6:29" ht="20.100000000000001" customHeight="1" x14ac:dyDescent="0.2"/>
    <row r="63" spans="6:29" ht="20.100000000000001" customHeight="1" thickBot="1" x14ac:dyDescent="0.25">
      <c r="I63" s="425" t="s">
        <v>163</v>
      </c>
      <c r="J63" s="425"/>
      <c r="K63" s="425"/>
      <c r="L63" s="425"/>
      <c r="M63" s="425"/>
      <c r="N63" s="425"/>
      <c r="O63" s="425"/>
    </row>
    <row r="64" spans="6:29" ht="20.100000000000001" customHeight="1" thickBot="1" x14ac:dyDescent="0.25">
      <c r="I64" s="117" t="s">
        <v>162</v>
      </c>
      <c r="J64" s="118">
        <v>1</v>
      </c>
      <c r="K64" s="118">
        <v>2</v>
      </c>
      <c r="L64" s="118">
        <v>3</v>
      </c>
      <c r="M64" s="118">
        <v>4</v>
      </c>
      <c r="N64" s="118">
        <v>5</v>
      </c>
      <c r="O64" s="119">
        <v>6</v>
      </c>
    </row>
    <row r="65" spans="9:15" ht="20.100000000000001" customHeight="1" x14ac:dyDescent="0.2">
      <c r="I65" s="114" t="s">
        <v>56</v>
      </c>
      <c r="J65" s="115">
        <v>0.4</v>
      </c>
      <c r="K65" s="115">
        <v>1.1000000000000001</v>
      </c>
      <c r="L65" s="115">
        <v>2</v>
      </c>
      <c r="M65" s="115">
        <v>3.1</v>
      </c>
      <c r="N65" s="115">
        <v>4.4000000000000004</v>
      </c>
      <c r="O65" s="116">
        <v>6</v>
      </c>
    </row>
    <row r="66" spans="9:15" ht="20.100000000000001" customHeight="1" x14ac:dyDescent="0.2">
      <c r="I66" s="1" t="s">
        <v>58</v>
      </c>
      <c r="J66" s="78">
        <v>0.7</v>
      </c>
      <c r="K66" s="78">
        <v>1.5</v>
      </c>
      <c r="L66" s="78">
        <v>2.6</v>
      </c>
      <c r="M66" s="78">
        <v>3.9</v>
      </c>
      <c r="N66" s="78">
        <v>5.6</v>
      </c>
      <c r="O66" s="112">
        <v>7.5</v>
      </c>
    </row>
    <row r="67" spans="9:15" x14ac:dyDescent="0.2">
      <c r="I67" s="1" t="s">
        <v>59</v>
      </c>
      <c r="J67" s="78">
        <v>0.9</v>
      </c>
      <c r="K67" s="78">
        <v>2</v>
      </c>
      <c r="L67" s="78">
        <v>3.3</v>
      </c>
      <c r="M67" s="78">
        <v>4.9000000000000004</v>
      </c>
      <c r="N67" s="78">
        <v>6.7</v>
      </c>
      <c r="O67" s="112">
        <v>9</v>
      </c>
    </row>
    <row r="68" spans="9:15" x14ac:dyDescent="0.2">
      <c r="I68" s="1" t="s">
        <v>61</v>
      </c>
      <c r="J68" s="78">
        <v>0.6</v>
      </c>
      <c r="K68" s="78">
        <v>1.4</v>
      </c>
      <c r="L68" s="78">
        <v>2.5</v>
      </c>
      <c r="M68" s="78">
        <v>3.7</v>
      </c>
      <c r="N68" s="78">
        <v>5.6</v>
      </c>
      <c r="O68" s="112">
        <v>7.1</v>
      </c>
    </row>
    <row r="69" spans="9:15" x14ac:dyDescent="0.2">
      <c r="I69" s="1" t="s">
        <v>63</v>
      </c>
      <c r="J69" s="78">
        <v>0.8</v>
      </c>
      <c r="K69" s="78">
        <v>1.8</v>
      </c>
      <c r="L69" s="78">
        <v>3</v>
      </c>
      <c r="M69" s="78">
        <v>4.4000000000000004</v>
      </c>
      <c r="N69" s="78">
        <v>6.1</v>
      </c>
      <c r="O69" s="112">
        <v>8.1999999999999993</v>
      </c>
    </row>
    <row r="70" spans="9:15" x14ac:dyDescent="0.2">
      <c r="I70" s="1" t="s">
        <v>65</v>
      </c>
      <c r="J70" s="78">
        <v>1.3</v>
      </c>
      <c r="K70" s="78">
        <v>2.7</v>
      </c>
      <c r="L70" s="78">
        <v>4.3</v>
      </c>
      <c r="M70" s="78">
        <v>6.1</v>
      </c>
      <c r="N70" s="78">
        <v>8.1999999999999993</v>
      </c>
      <c r="O70" s="112">
        <v>10.7</v>
      </c>
    </row>
    <row r="71" spans="9:15" x14ac:dyDescent="0.2">
      <c r="I71" s="1" t="s">
        <v>124</v>
      </c>
      <c r="J71" s="78">
        <v>1.5</v>
      </c>
      <c r="K71" s="78">
        <v>3.2</v>
      </c>
      <c r="L71" s="78">
        <v>5</v>
      </c>
      <c r="M71" s="78">
        <v>7</v>
      </c>
      <c r="N71" s="78">
        <v>9.3000000000000007</v>
      </c>
      <c r="O71" s="112">
        <v>11.9</v>
      </c>
    </row>
    <row r="72" spans="9:15" x14ac:dyDescent="0.2">
      <c r="I72" s="1" t="s">
        <v>125</v>
      </c>
      <c r="J72" s="78">
        <v>1.8</v>
      </c>
      <c r="K72" s="78">
        <v>3.7</v>
      </c>
      <c r="L72" s="78">
        <v>5.7</v>
      </c>
      <c r="M72" s="78">
        <v>7.9</v>
      </c>
      <c r="N72" s="78">
        <v>10.4</v>
      </c>
      <c r="O72" s="112">
        <v>13.2</v>
      </c>
    </row>
    <row r="73" spans="9:15" ht="13.5" thickBot="1" x14ac:dyDescent="0.25">
      <c r="I73" s="34" t="s">
        <v>126</v>
      </c>
      <c r="J73" s="111">
        <v>2</v>
      </c>
      <c r="K73" s="111">
        <v>4.0999999999999996</v>
      </c>
      <c r="L73" s="111">
        <v>6.4</v>
      </c>
      <c r="M73" s="111">
        <v>8.8000000000000007</v>
      </c>
      <c r="N73" s="111">
        <v>11.5</v>
      </c>
      <c r="O73" s="113">
        <v>14.5</v>
      </c>
    </row>
    <row r="74" spans="9:15" x14ac:dyDescent="0.2">
      <c r="I74" s="30" t="s">
        <v>67</v>
      </c>
      <c r="J74" s="165">
        <v>5.4</v>
      </c>
      <c r="K74" s="165">
        <v>13.7</v>
      </c>
      <c r="L74" s="165">
        <v>22.1</v>
      </c>
      <c r="M74" s="165">
        <v>30.5</v>
      </c>
      <c r="N74" s="165">
        <v>38.700000000000003</v>
      </c>
      <c r="O74" s="166">
        <v>46.9</v>
      </c>
    </row>
    <row r="75" spans="9:15" ht="13.5" thickBot="1" x14ac:dyDescent="0.25">
      <c r="I75" s="34" t="s">
        <v>69</v>
      </c>
      <c r="J75" s="167">
        <v>3.6</v>
      </c>
      <c r="K75" s="167">
        <v>13.2</v>
      </c>
      <c r="L75" s="167">
        <v>21.9</v>
      </c>
      <c r="M75" s="167">
        <v>30.3</v>
      </c>
      <c r="N75" s="167">
        <v>38.5</v>
      </c>
      <c r="O75" s="168">
        <v>46.8</v>
      </c>
    </row>
    <row r="78" spans="9:15" ht="15" thickBot="1" x14ac:dyDescent="0.25">
      <c r="I78" s="425" t="s">
        <v>164</v>
      </c>
      <c r="J78" s="425"/>
      <c r="K78" s="425"/>
      <c r="L78" s="425"/>
      <c r="M78" s="425"/>
      <c r="N78" s="425"/>
      <c r="O78" s="425"/>
    </row>
    <row r="79" spans="9:15" ht="15" thickBot="1" x14ac:dyDescent="0.25">
      <c r="I79" s="117" t="s">
        <v>162</v>
      </c>
      <c r="J79" s="118">
        <v>1</v>
      </c>
      <c r="K79" s="118">
        <v>2</v>
      </c>
      <c r="L79" s="118">
        <v>3</v>
      </c>
      <c r="M79" s="118">
        <v>4</v>
      </c>
      <c r="N79" s="118">
        <v>5</v>
      </c>
      <c r="O79" s="119">
        <v>6</v>
      </c>
    </row>
    <row r="80" spans="9:15" x14ac:dyDescent="0.2">
      <c r="I80" s="114" t="s">
        <v>56</v>
      </c>
      <c r="J80" s="115">
        <v>0.3</v>
      </c>
      <c r="K80" s="115">
        <v>2</v>
      </c>
      <c r="L80" s="115">
        <v>4.8</v>
      </c>
      <c r="M80" s="115">
        <v>8.8000000000000007</v>
      </c>
      <c r="N80" s="115">
        <v>14</v>
      </c>
      <c r="O80" s="116">
        <v>20</v>
      </c>
    </row>
    <row r="81" spans="9:18" x14ac:dyDescent="0.2">
      <c r="I81" s="1" t="s">
        <v>58</v>
      </c>
      <c r="J81" s="78">
        <v>0.3</v>
      </c>
      <c r="K81" s="78">
        <v>2.8</v>
      </c>
      <c r="L81" s="78">
        <v>6.8</v>
      </c>
      <c r="M81" s="78">
        <v>13</v>
      </c>
      <c r="N81" s="78">
        <v>20</v>
      </c>
      <c r="O81" s="112">
        <v>30</v>
      </c>
    </row>
    <row r="82" spans="9:18" x14ac:dyDescent="0.2">
      <c r="I82" s="1" t="s">
        <v>59</v>
      </c>
      <c r="J82" s="78">
        <v>0.7</v>
      </c>
      <c r="K82" s="78">
        <v>4</v>
      </c>
      <c r="L82" s="78">
        <v>10</v>
      </c>
      <c r="M82" s="78">
        <v>18</v>
      </c>
      <c r="N82" s="78">
        <v>28</v>
      </c>
      <c r="O82" s="112">
        <v>40</v>
      </c>
    </row>
    <row r="83" spans="9:18" x14ac:dyDescent="0.2">
      <c r="I83" s="1" t="s">
        <v>61</v>
      </c>
      <c r="J83" s="78">
        <v>0.6</v>
      </c>
      <c r="K83" s="78">
        <v>4</v>
      </c>
      <c r="L83" s="78">
        <v>9.5</v>
      </c>
      <c r="M83" s="78">
        <v>17</v>
      </c>
      <c r="N83" s="78">
        <v>27</v>
      </c>
      <c r="O83" s="112">
        <v>40</v>
      </c>
    </row>
    <row r="84" spans="9:18" x14ac:dyDescent="0.2">
      <c r="I84" s="1" t="s">
        <v>63</v>
      </c>
      <c r="J84" s="78">
        <v>1.1000000000000001</v>
      </c>
      <c r="K84" s="78">
        <v>5.7</v>
      </c>
      <c r="L84" s="78">
        <v>13</v>
      </c>
      <c r="M84" s="78">
        <v>24</v>
      </c>
      <c r="N84" s="78">
        <v>37</v>
      </c>
      <c r="O84" s="112">
        <v>54</v>
      </c>
    </row>
    <row r="85" spans="9:18" x14ac:dyDescent="0.2">
      <c r="I85" s="1" t="s">
        <v>65</v>
      </c>
      <c r="J85" s="78">
        <v>1.7</v>
      </c>
      <c r="K85" s="78">
        <v>8.6</v>
      </c>
      <c r="L85" s="78">
        <v>20</v>
      </c>
      <c r="M85" s="78">
        <v>36</v>
      </c>
      <c r="N85" s="78">
        <v>56</v>
      </c>
      <c r="O85" s="112">
        <v>81</v>
      </c>
      <c r="Q85" s="72"/>
      <c r="R85" s="72" t="s">
        <v>238</v>
      </c>
    </row>
    <row r="86" spans="9:18" x14ac:dyDescent="0.2">
      <c r="I86" s="1" t="s">
        <v>124</v>
      </c>
      <c r="J86" s="78">
        <v>1.8</v>
      </c>
      <c r="K86" s="78">
        <v>10</v>
      </c>
      <c r="L86" s="78">
        <v>23</v>
      </c>
      <c r="M86" s="78">
        <v>41</v>
      </c>
      <c r="N86" s="78">
        <v>65</v>
      </c>
      <c r="O86" s="112">
        <v>94</v>
      </c>
      <c r="Q86" s="79" t="s">
        <v>56</v>
      </c>
      <c r="R86" s="229">
        <v>10</v>
      </c>
    </row>
    <row r="87" spans="9:18" x14ac:dyDescent="0.2">
      <c r="I87" s="1" t="s">
        <v>125</v>
      </c>
      <c r="J87" s="78">
        <v>2.2999999999999998</v>
      </c>
      <c r="K87" s="78">
        <v>11</v>
      </c>
      <c r="L87" s="78">
        <v>27</v>
      </c>
      <c r="M87" s="78">
        <v>48</v>
      </c>
      <c r="N87" s="78">
        <v>75</v>
      </c>
      <c r="O87" s="112">
        <v>108</v>
      </c>
      <c r="Q87" s="79" t="s">
        <v>58</v>
      </c>
      <c r="R87" s="229">
        <v>10</v>
      </c>
    </row>
    <row r="88" spans="9:18" ht="13.5" thickBot="1" x14ac:dyDescent="0.25">
      <c r="I88" s="34" t="s">
        <v>126</v>
      </c>
      <c r="J88" s="111">
        <v>2.2999999999999998</v>
      </c>
      <c r="K88" s="111">
        <v>13</v>
      </c>
      <c r="L88" s="111">
        <v>29</v>
      </c>
      <c r="M88" s="111">
        <v>53</v>
      </c>
      <c r="N88" s="111">
        <v>83</v>
      </c>
      <c r="O88" s="113">
        <v>121</v>
      </c>
      <c r="Q88" s="79" t="s">
        <v>59</v>
      </c>
      <c r="R88" s="229">
        <v>10</v>
      </c>
    </row>
    <row r="89" spans="9:18" x14ac:dyDescent="0.2">
      <c r="I89" s="30" t="s">
        <v>67</v>
      </c>
      <c r="J89" s="165">
        <v>3.3</v>
      </c>
      <c r="K89" s="165">
        <v>36</v>
      </c>
      <c r="L89" s="165">
        <v>97</v>
      </c>
      <c r="M89" s="165">
        <v>185</v>
      </c>
      <c r="N89" s="165">
        <v>302</v>
      </c>
      <c r="O89" s="166">
        <v>446</v>
      </c>
      <c r="Q89" s="79" t="s">
        <v>61</v>
      </c>
      <c r="R89" s="229">
        <v>12</v>
      </c>
    </row>
    <row r="90" spans="9:18" ht="13.5" thickBot="1" x14ac:dyDescent="0.25">
      <c r="I90" s="34" t="s">
        <v>69</v>
      </c>
      <c r="J90" s="167">
        <v>4.5</v>
      </c>
      <c r="K90" s="167">
        <v>47</v>
      </c>
      <c r="L90" s="167">
        <v>126</v>
      </c>
      <c r="M90" s="167">
        <v>241</v>
      </c>
      <c r="N90" s="167">
        <v>393</v>
      </c>
      <c r="O90" s="168">
        <v>581</v>
      </c>
      <c r="Q90" s="79" t="s">
        <v>63</v>
      </c>
      <c r="R90" s="229">
        <v>12</v>
      </c>
    </row>
    <row r="91" spans="9:18" x14ac:dyDescent="0.2">
      <c r="Q91" s="79" t="s">
        <v>65</v>
      </c>
      <c r="R91" s="229">
        <v>12</v>
      </c>
    </row>
    <row r="92" spans="9:18" x14ac:dyDescent="0.2">
      <c r="Q92" s="79" t="s">
        <v>124</v>
      </c>
      <c r="R92" s="229">
        <v>12</v>
      </c>
    </row>
    <row r="93" spans="9:18" x14ac:dyDescent="0.2">
      <c r="Q93" s="79" t="s">
        <v>125</v>
      </c>
      <c r="R93" s="229">
        <v>12</v>
      </c>
    </row>
    <row r="94" spans="9:18" x14ac:dyDescent="0.2">
      <c r="Q94" s="79" t="s">
        <v>126</v>
      </c>
      <c r="R94" s="229">
        <v>12</v>
      </c>
    </row>
    <row r="95" spans="9:18" x14ac:dyDescent="0.2">
      <c r="Q95" s="79" t="s">
        <v>67</v>
      </c>
      <c r="R95" s="229">
        <v>10</v>
      </c>
    </row>
    <row r="96" spans="9:18" x14ac:dyDescent="0.2">
      <c r="Q96" s="79" t="s">
        <v>69</v>
      </c>
      <c r="R96" s="229">
        <v>12</v>
      </c>
    </row>
    <row r="102" spans="9:15" ht="15" thickBot="1" x14ac:dyDescent="0.25">
      <c r="I102" s="425" t="s">
        <v>163</v>
      </c>
      <c r="J102" s="425"/>
      <c r="K102" s="425"/>
      <c r="L102" s="425"/>
      <c r="M102" s="425"/>
      <c r="N102" s="425"/>
      <c r="O102" s="425"/>
    </row>
    <row r="103" spans="9:15" ht="15" thickBot="1" x14ac:dyDescent="0.25">
      <c r="I103" s="117" t="s">
        <v>162</v>
      </c>
      <c r="J103" s="118">
        <v>1</v>
      </c>
      <c r="K103" s="118">
        <v>2</v>
      </c>
      <c r="L103" s="118">
        <v>3</v>
      </c>
      <c r="M103" s="118">
        <v>4</v>
      </c>
      <c r="N103" s="118">
        <v>5</v>
      </c>
      <c r="O103" s="119">
        <v>6</v>
      </c>
    </row>
    <row r="104" spans="9:15" x14ac:dyDescent="0.2">
      <c r="I104" s="114" t="s">
        <v>56</v>
      </c>
      <c r="J104" s="115">
        <v>2</v>
      </c>
      <c r="K104" s="115">
        <v>4</v>
      </c>
      <c r="L104" s="115">
        <v>6</v>
      </c>
      <c r="M104" s="115">
        <v>8</v>
      </c>
      <c r="N104" s="115">
        <v>10</v>
      </c>
      <c r="O104" s="116">
        <v>12</v>
      </c>
    </row>
    <row r="105" spans="9:15" x14ac:dyDescent="0.2">
      <c r="I105" s="1" t="s">
        <v>58</v>
      </c>
      <c r="J105" s="78">
        <v>1.7</v>
      </c>
      <c r="K105" s="78">
        <v>3.8</v>
      </c>
      <c r="L105" s="78">
        <v>6.3</v>
      </c>
      <c r="M105" s="78">
        <v>9</v>
      </c>
      <c r="N105" s="78">
        <v>12</v>
      </c>
      <c r="O105" s="112">
        <v>15.1</v>
      </c>
    </row>
    <row r="106" spans="9:15" x14ac:dyDescent="0.2">
      <c r="I106" s="1" t="s">
        <v>59</v>
      </c>
      <c r="J106" s="78">
        <v>1.8</v>
      </c>
      <c r="K106" s="78">
        <v>3.9</v>
      </c>
      <c r="L106" s="78">
        <v>6.4</v>
      </c>
      <c r="M106" s="78">
        <v>9.3000000000000007</v>
      </c>
      <c r="N106" s="78">
        <v>12.5</v>
      </c>
      <c r="O106" s="112">
        <v>16.2</v>
      </c>
    </row>
    <row r="107" spans="9:15" x14ac:dyDescent="0.2">
      <c r="I107" s="1" t="s">
        <v>61</v>
      </c>
      <c r="J107" s="78">
        <v>1.7</v>
      </c>
      <c r="K107" s="78">
        <v>3.8</v>
      </c>
      <c r="L107" s="78">
        <v>6.3</v>
      </c>
      <c r="M107" s="78">
        <v>9</v>
      </c>
      <c r="N107" s="78">
        <v>12</v>
      </c>
      <c r="O107" s="112">
        <v>15.1</v>
      </c>
    </row>
    <row r="108" spans="9:15" x14ac:dyDescent="0.2">
      <c r="I108" s="1" t="s">
        <v>63</v>
      </c>
      <c r="J108" s="78">
        <v>1.8</v>
      </c>
      <c r="K108" s="78">
        <v>3.9</v>
      </c>
      <c r="L108" s="78">
        <v>6.4</v>
      </c>
      <c r="M108" s="78">
        <v>9.3000000000000007</v>
      </c>
      <c r="N108" s="78">
        <v>12.5</v>
      </c>
      <c r="O108" s="112">
        <v>16.2</v>
      </c>
    </row>
    <row r="109" spans="9:15" x14ac:dyDescent="0.2">
      <c r="I109" s="1" t="s">
        <v>65</v>
      </c>
      <c r="J109" s="78">
        <v>2.2000000000000002</v>
      </c>
      <c r="K109" s="78">
        <v>4.5999999999999996</v>
      </c>
      <c r="L109" s="78">
        <v>7.3</v>
      </c>
      <c r="M109" s="78">
        <v>10.3</v>
      </c>
      <c r="N109" s="78">
        <v>13.7</v>
      </c>
      <c r="O109" s="112">
        <v>17.600000000000001</v>
      </c>
    </row>
    <row r="110" spans="9:15" x14ac:dyDescent="0.2">
      <c r="I110" s="1" t="s">
        <v>124</v>
      </c>
      <c r="J110" s="78">
        <v>2.4</v>
      </c>
      <c r="K110" s="78">
        <v>5</v>
      </c>
      <c r="L110" s="78">
        <v>7.9</v>
      </c>
      <c r="M110" s="78">
        <v>11</v>
      </c>
      <c r="N110" s="78">
        <v>14.5</v>
      </c>
      <c r="O110" s="112">
        <v>18.5</v>
      </c>
    </row>
    <row r="111" spans="9:15" x14ac:dyDescent="0.2">
      <c r="I111" s="1" t="s">
        <v>125</v>
      </c>
      <c r="J111" s="78">
        <v>2.7</v>
      </c>
      <c r="K111" s="78">
        <v>5.5</v>
      </c>
      <c r="L111" s="78">
        <v>8.5</v>
      </c>
      <c r="M111" s="78">
        <v>11.8</v>
      </c>
      <c r="N111" s="78">
        <v>15.4</v>
      </c>
      <c r="O111" s="112">
        <v>19.5</v>
      </c>
    </row>
    <row r="112" spans="9:15" ht="13.5" thickBot="1" x14ac:dyDescent="0.25">
      <c r="I112" s="34" t="s">
        <v>126</v>
      </c>
      <c r="J112" s="111">
        <v>2.9</v>
      </c>
      <c r="K112" s="111">
        <v>5.9</v>
      </c>
      <c r="L112" s="111">
        <v>9.1</v>
      </c>
      <c r="M112" s="111">
        <v>12.6</v>
      </c>
      <c r="N112" s="111">
        <v>16.399999999999999</v>
      </c>
      <c r="O112" s="113">
        <v>20.6</v>
      </c>
    </row>
    <row r="113" spans="9:15" x14ac:dyDescent="0.2">
      <c r="I113" s="30" t="s">
        <v>67</v>
      </c>
      <c r="J113" s="165">
        <v>7.6</v>
      </c>
      <c r="K113" s="165">
        <v>15.7</v>
      </c>
      <c r="L113" s="165">
        <v>23.8</v>
      </c>
      <c r="M113" s="165">
        <v>31.9</v>
      </c>
      <c r="N113" s="165">
        <v>39.9</v>
      </c>
      <c r="O113" s="169">
        <v>47.9</v>
      </c>
    </row>
    <row r="114" spans="9:15" ht="13.5" thickBot="1" x14ac:dyDescent="0.25">
      <c r="I114" s="34" t="s">
        <v>69</v>
      </c>
      <c r="J114" s="170">
        <v>7.1</v>
      </c>
      <c r="K114" s="170">
        <v>15.7</v>
      </c>
      <c r="L114" s="170">
        <v>23.8</v>
      </c>
      <c r="M114" s="170">
        <v>31.9</v>
      </c>
      <c r="N114" s="170">
        <v>39.9</v>
      </c>
      <c r="O114" s="171">
        <v>47.9</v>
      </c>
    </row>
    <row r="116" spans="9:15" ht="15" thickBot="1" x14ac:dyDescent="0.25">
      <c r="I116" s="425" t="s">
        <v>164</v>
      </c>
      <c r="J116" s="425"/>
      <c r="K116" s="425"/>
      <c r="L116" s="425"/>
      <c r="M116" s="425"/>
      <c r="N116" s="425"/>
      <c r="O116" s="425"/>
    </row>
    <row r="117" spans="9:15" ht="15" thickBot="1" x14ac:dyDescent="0.25">
      <c r="I117" s="117" t="s">
        <v>162</v>
      </c>
      <c r="J117" s="118">
        <v>1</v>
      </c>
      <c r="K117" s="118">
        <v>2</v>
      </c>
      <c r="L117" s="118">
        <v>3</v>
      </c>
      <c r="M117" s="118">
        <v>4</v>
      </c>
      <c r="N117" s="118">
        <v>5</v>
      </c>
      <c r="O117" s="119">
        <v>6</v>
      </c>
    </row>
    <row r="118" spans="9:15" x14ac:dyDescent="0.2">
      <c r="I118" s="114" t="s">
        <v>56</v>
      </c>
      <c r="J118" s="115">
        <v>0.4</v>
      </c>
      <c r="K118" s="115">
        <v>2.4</v>
      </c>
      <c r="L118" s="115">
        <v>5.7</v>
      </c>
      <c r="M118" s="115">
        <v>10.3</v>
      </c>
      <c r="N118" s="115">
        <v>16</v>
      </c>
      <c r="O118" s="116">
        <v>24</v>
      </c>
    </row>
    <row r="119" spans="9:15" x14ac:dyDescent="0.2">
      <c r="I119" s="1" t="s">
        <v>58</v>
      </c>
      <c r="J119" s="78">
        <v>0.4</v>
      </c>
      <c r="K119" s="78">
        <v>3.2</v>
      </c>
      <c r="L119" s="78">
        <v>8</v>
      </c>
      <c r="M119" s="78">
        <v>15</v>
      </c>
      <c r="N119" s="78">
        <v>24</v>
      </c>
      <c r="O119" s="112">
        <v>35</v>
      </c>
    </row>
    <row r="120" spans="9:15" x14ac:dyDescent="0.2">
      <c r="I120" s="1" t="s">
        <v>59</v>
      </c>
      <c r="J120" s="78">
        <v>0.8</v>
      </c>
      <c r="K120" s="78">
        <v>4.7</v>
      </c>
      <c r="L120" s="78">
        <v>11</v>
      </c>
      <c r="M120" s="78">
        <v>21</v>
      </c>
      <c r="N120" s="78">
        <v>33</v>
      </c>
      <c r="O120" s="112">
        <v>48</v>
      </c>
    </row>
    <row r="121" spans="9:15" x14ac:dyDescent="0.2">
      <c r="I121" s="1" t="s">
        <v>61</v>
      </c>
      <c r="J121" s="78">
        <v>0.7</v>
      </c>
      <c r="K121" s="78">
        <v>4.5999999999999996</v>
      </c>
      <c r="L121" s="78">
        <v>11</v>
      </c>
      <c r="M121" s="78">
        <v>20</v>
      </c>
      <c r="N121" s="78">
        <v>32</v>
      </c>
      <c r="O121" s="112">
        <v>46</v>
      </c>
    </row>
    <row r="122" spans="9:15" x14ac:dyDescent="0.2">
      <c r="I122" s="1" t="s">
        <v>63</v>
      </c>
      <c r="J122" s="78">
        <v>1.3</v>
      </c>
      <c r="K122" s="78">
        <v>6.6</v>
      </c>
      <c r="L122" s="78">
        <v>15</v>
      </c>
      <c r="M122" s="78">
        <v>28</v>
      </c>
      <c r="N122" s="78">
        <v>43</v>
      </c>
      <c r="O122" s="112">
        <v>63</v>
      </c>
    </row>
    <row r="123" spans="9:15" x14ac:dyDescent="0.2">
      <c r="I123" s="1" t="s">
        <v>65</v>
      </c>
      <c r="J123" s="78">
        <v>2</v>
      </c>
      <c r="K123" s="78">
        <v>10</v>
      </c>
      <c r="L123" s="78">
        <v>23</v>
      </c>
      <c r="M123" s="78">
        <v>41</v>
      </c>
      <c r="N123" s="78">
        <v>65</v>
      </c>
      <c r="O123" s="112">
        <v>94</v>
      </c>
    </row>
    <row r="124" spans="9:15" x14ac:dyDescent="0.2">
      <c r="I124" s="1" t="s">
        <v>124</v>
      </c>
      <c r="J124" s="78">
        <v>2</v>
      </c>
      <c r="K124" s="78">
        <v>11</v>
      </c>
      <c r="L124" s="78">
        <v>26</v>
      </c>
      <c r="M124" s="78">
        <v>48</v>
      </c>
      <c r="N124" s="78">
        <v>75</v>
      </c>
      <c r="O124" s="112">
        <v>108</v>
      </c>
    </row>
    <row r="125" spans="9:15" x14ac:dyDescent="0.2">
      <c r="I125" s="1" t="s">
        <v>125</v>
      </c>
      <c r="J125" s="78">
        <v>2.6</v>
      </c>
      <c r="K125" s="78">
        <v>13</v>
      </c>
      <c r="L125" s="78">
        <v>31</v>
      </c>
      <c r="M125" s="78">
        <v>55</v>
      </c>
      <c r="N125" s="78">
        <v>87</v>
      </c>
      <c r="O125" s="112">
        <v>125</v>
      </c>
    </row>
    <row r="126" spans="9:15" ht="13.5" thickBot="1" x14ac:dyDescent="0.25">
      <c r="I126" s="34" t="s">
        <v>126</v>
      </c>
      <c r="J126" s="111">
        <v>2.7</v>
      </c>
      <c r="K126" s="111">
        <v>15</v>
      </c>
      <c r="L126" s="111">
        <v>34</v>
      </c>
      <c r="M126" s="111">
        <v>61</v>
      </c>
      <c r="N126" s="111">
        <v>97</v>
      </c>
      <c r="O126" s="113">
        <v>140</v>
      </c>
    </row>
    <row r="127" spans="9:15" x14ac:dyDescent="0.2">
      <c r="I127" s="30" t="s">
        <v>67</v>
      </c>
      <c r="J127" s="165">
        <v>3.9</v>
      </c>
      <c r="K127" s="165">
        <v>42</v>
      </c>
      <c r="L127" s="165">
        <v>114</v>
      </c>
      <c r="M127" s="165">
        <v>218</v>
      </c>
      <c r="N127" s="165">
        <v>355</v>
      </c>
      <c r="O127" s="169">
        <v>525</v>
      </c>
    </row>
    <row r="128" spans="9:15" ht="13.5" thickBot="1" x14ac:dyDescent="0.25">
      <c r="I128" s="34" t="s">
        <v>69</v>
      </c>
      <c r="J128" s="170">
        <v>5.2</v>
      </c>
      <c r="K128" s="170">
        <v>55</v>
      </c>
      <c r="L128" s="170">
        <v>146</v>
      </c>
      <c r="M128" s="170">
        <v>280</v>
      </c>
      <c r="N128" s="170">
        <v>455</v>
      </c>
      <c r="O128" s="171">
        <v>673</v>
      </c>
    </row>
    <row r="132" spans="8:12" ht="13.5" thickBot="1" x14ac:dyDescent="0.25"/>
    <row r="133" spans="8:12" ht="39" thickBot="1" x14ac:dyDescent="0.25">
      <c r="I133" s="117"/>
      <c r="J133" s="118"/>
      <c r="K133" s="158" t="s">
        <v>213</v>
      </c>
      <c r="L133" s="151" t="s">
        <v>212</v>
      </c>
    </row>
    <row r="134" spans="8:12" x14ac:dyDescent="0.2">
      <c r="I134" s="114" t="s">
        <v>342</v>
      </c>
      <c r="J134" s="149">
        <v>1.1100000000000001</v>
      </c>
      <c r="K134" s="155">
        <v>220</v>
      </c>
      <c r="L134" s="152">
        <f>J134*K134</f>
        <v>244.20000000000002</v>
      </c>
    </row>
    <row r="135" spans="8:12" x14ac:dyDescent="0.2">
      <c r="I135" s="1" t="s">
        <v>343</v>
      </c>
      <c r="J135" s="77">
        <v>1.27</v>
      </c>
      <c r="K135" s="156">
        <v>220</v>
      </c>
      <c r="L135" s="153">
        <f t="shared" ref="L135:L141" si="8">J135*K135</f>
        <v>279.39999999999998</v>
      </c>
    </row>
    <row r="136" spans="8:12" x14ac:dyDescent="0.2">
      <c r="H136">
        <v>18</v>
      </c>
      <c r="I136" s="1" t="s">
        <v>344</v>
      </c>
      <c r="J136" s="77">
        <v>1.1100000000000001</v>
      </c>
      <c r="K136" s="156">
        <v>210</v>
      </c>
      <c r="L136" s="153">
        <f t="shared" si="8"/>
        <v>233.10000000000002</v>
      </c>
    </row>
    <row r="137" spans="8:12" x14ac:dyDescent="0.2">
      <c r="H137">
        <v>35</v>
      </c>
      <c r="I137" s="1" t="s">
        <v>345</v>
      </c>
      <c r="J137" s="77">
        <v>3.39</v>
      </c>
      <c r="K137" s="156">
        <v>210</v>
      </c>
      <c r="L137" s="153">
        <f t="shared" si="8"/>
        <v>711.9</v>
      </c>
    </row>
    <row r="138" spans="8:12" x14ac:dyDescent="0.2">
      <c r="H138">
        <v>50</v>
      </c>
      <c r="I138" s="1" t="s">
        <v>346</v>
      </c>
      <c r="J138" s="77">
        <v>3.7</v>
      </c>
      <c r="K138" s="156">
        <v>210</v>
      </c>
      <c r="L138" s="153">
        <f t="shared" si="8"/>
        <v>777</v>
      </c>
    </row>
    <row r="139" spans="8:12" x14ac:dyDescent="0.2">
      <c r="H139">
        <v>75</v>
      </c>
      <c r="I139" s="1" t="s">
        <v>347</v>
      </c>
      <c r="J139" s="77">
        <v>3.7</v>
      </c>
      <c r="K139" s="156">
        <v>210</v>
      </c>
      <c r="L139" s="153">
        <f t="shared" si="8"/>
        <v>777</v>
      </c>
    </row>
    <row r="140" spans="8:12" x14ac:dyDescent="0.2">
      <c r="H140">
        <v>100</v>
      </c>
      <c r="I140" s="1" t="s">
        <v>348</v>
      </c>
      <c r="J140" s="77">
        <v>3.7</v>
      </c>
      <c r="K140" s="156">
        <v>210</v>
      </c>
      <c r="L140" s="153">
        <f t="shared" si="8"/>
        <v>777</v>
      </c>
    </row>
    <row r="141" spans="8:12" ht="13.5" thickBot="1" x14ac:dyDescent="0.25">
      <c r="H141">
        <v>125</v>
      </c>
      <c r="I141" s="34" t="s">
        <v>349</v>
      </c>
      <c r="J141" s="150">
        <v>3.7</v>
      </c>
      <c r="K141" s="157">
        <v>210</v>
      </c>
      <c r="L141" s="154">
        <f t="shared" si="8"/>
        <v>777</v>
      </c>
    </row>
    <row r="147" spans="12:13" x14ac:dyDescent="0.2">
      <c r="L147" s="147"/>
      <c r="M147" s="147"/>
    </row>
    <row r="148" spans="12:13" x14ac:dyDescent="0.2">
      <c r="L148" s="110"/>
      <c r="M148" s="110"/>
    </row>
    <row r="149" spans="12:13" x14ac:dyDescent="0.2">
      <c r="L149" s="110"/>
      <c r="M149" s="110"/>
    </row>
    <row r="150" spans="12:13" x14ac:dyDescent="0.2">
      <c r="L150" s="110"/>
      <c r="M150" s="110"/>
    </row>
    <row r="151" spans="12:13" x14ac:dyDescent="0.2">
      <c r="L151" s="110"/>
      <c r="M151" s="110"/>
    </row>
    <row r="152" spans="12:13" x14ac:dyDescent="0.2">
      <c r="L152" s="110"/>
      <c r="M152" s="110"/>
    </row>
    <row r="153" spans="12:13" x14ac:dyDescent="0.2">
      <c r="L153" s="110"/>
      <c r="M153" s="110"/>
    </row>
    <row r="154" spans="12:13" x14ac:dyDescent="0.2">
      <c r="L154" s="110"/>
      <c r="M154" s="110"/>
    </row>
    <row r="155" spans="12:13" x14ac:dyDescent="0.2">
      <c r="L155" s="110"/>
      <c r="M155" s="110"/>
    </row>
  </sheetData>
  <sheetProtection algorithmName="SHA-512" hashValue="+vumu+TU0LeWaMW1a9H7dq3Jup4lTkb/W9WAGyPIxvDyrOcluNT9TC2N8AjTkTUpXPwGyP1T7lkRRuC1/BYB+Q==" saltValue="J9xsI6yZ6wk05nJrayHiUA==" spinCount="100000" sheet="1" objects="1" scenarios="1" selectLockedCells="1"/>
  <mergeCells count="12">
    <mergeCell ref="I116:O116"/>
    <mergeCell ref="U2:U3"/>
    <mergeCell ref="AD2:AD3"/>
    <mergeCell ref="I63:O63"/>
    <mergeCell ref="I78:O78"/>
    <mergeCell ref="I2:I3"/>
    <mergeCell ref="B2:B3"/>
    <mergeCell ref="C2:C3"/>
    <mergeCell ref="I34:O34"/>
    <mergeCell ref="I48:O48"/>
    <mergeCell ref="I102:O102"/>
    <mergeCell ref="B42:H44"/>
  </mergeCells>
  <phoneticPr fontId="14" type="noConversion"/>
  <pageMargins left="0.7" right="0.7" top="0.75" bottom="0.75" header="0.3" footer="0.3"/>
  <pageSetup paperSize="9" scale="79" orientation="portrait" r:id="rId1"/>
  <rowBreaks count="1" manualBreakCount="1">
    <brk id="4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EE90-F039-4BC5-9860-EA87447A11C3}">
  <sheetPr codeName="Foglio3"/>
  <dimension ref="A1:M202"/>
  <sheetViews>
    <sheetView showGridLines="0" zoomScaleNormal="100" workbookViewId="0">
      <selection activeCell="J52" sqref="J52"/>
    </sheetView>
  </sheetViews>
  <sheetFormatPr defaultRowHeight="12.75" x14ac:dyDescent="0.2"/>
  <cols>
    <col min="1" max="1" width="30.625" style="3" customWidth="1"/>
    <col min="2" max="2" width="40.625" customWidth="1"/>
    <col min="3" max="5" width="30.625" customWidth="1"/>
    <col min="7" max="7" width="71.625" customWidth="1"/>
    <col min="8" max="8" width="39.625" customWidth="1"/>
    <col min="12" max="12" width="9" customWidth="1"/>
  </cols>
  <sheetData>
    <row r="1" spans="1:13" ht="300" customHeight="1" x14ac:dyDescent="0.2">
      <c r="A1" s="99" t="str">
        <f>'LOCK-T'!AE60</f>
        <v>Notch in column</v>
      </c>
      <c r="G1" s="99"/>
    </row>
    <row r="2" spans="1:13" ht="300" customHeight="1" x14ac:dyDescent="0.2">
      <c r="A2" s="99" t="str">
        <f>'LOCK-T'!AE61</f>
        <v>Notch in secondary beam</v>
      </c>
    </row>
    <row r="3" spans="1:13" ht="300" customHeight="1" x14ac:dyDescent="0.2">
      <c r="A3" s="99" t="s">
        <v>214</v>
      </c>
      <c r="G3" s="125"/>
      <c r="M3" s="99"/>
    </row>
    <row r="4" spans="1:13" ht="300" customHeight="1" x14ac:dyDescent="0.2">
      <c r="A4" s="99" t="str">
        <f>'LOCK-T'!AE62</f>
        <v>Inclined screws</v>
      </c>
      <c r="M4" s="99"/>
    </row>
    <row r="5" spans="1:13" ht="300" customHeight="1" x14ac:dyDescent="0.2">
      <c r="A5" s="99" t="str">
        <f>'LOCK-T'!AB60</f>
        <v>Notch in main beam</v>
      </c>
      <c r="M5" s="99"/>
    </row>
    <row r="6" spans="1:13" ht="300" customHeight="1" x14ac:dyDescent="0.2">
      <c r="A6" s="99" t="str">
        <f>'LOCK-T'!AB61</f>
        <v>Notch in secondary beam</v>
      </c>
      <c r="M6" s="99"/>
    </row>
    <row r="7" spans="1:13" ht="300" customHeight="1" x14ac:dyDescent="0.2">
      <c r="A7" s="99" t="s">
        <v>214</v>
      </c>
    </row>
    <row r="8" spans="1:13" ht="300" customHeight="1" x14ac:dyDescent="0.2">
      <c r="A8" s="99" t="str">
        <f>'LOCK-T'!AB62</f>
        <v>Inclined screws</v>
      </c>
      <c r="E8" s="125"/>
    </row>
    <row r="9" spans="1:13" ht="300" customHeight="1" x14ac:dyDescent="0.2">
      <c r="A9" s="99"/>
      <c r="D9">
        <f>INDEX(IF('LOCK-T'!$H$72="Pilastro",IF('LOCK-T'!$H$99=1,Foglio2!$B$1:$B$4,Foglio2!$B$49:$B$52),IF('LOCK-T'!$H$99=1,Foglio2!$B$5:$B$9,Foglio2!$B$53:$B$57)),MATCH('LOCK-T'!$H$65,Foglio2!$A$1:$A$8,0))</f>
        <v>0</v>
      </c>
      <c r="E9" s="125"/>
    </row>
    <row r="10" spans="1:13" ht="300" customHeight="1" x14ac:dyDescent="0.2">
      <c r="A10" s="3" t="str">
        <f>'LOCK-T'!AA53</f>
        <v>Beam</v>
      </c>
      <c r="E10" s="125"/>
    </row>
    <row r="11" spans="1:13" ht="300" customHeight="1" x14ac:dyDescent="0.2">
      <c r="A11" s="3" t="str">
        <f>'LOCK-T'!AA54</f>
        <v>Column</v>
      </c>
    </row>
    <row r="12" spans="1:13" ht="99.95" customHeight="1" x14ac:dyDescent="0.2">
      <c r="A12" s="3" t="str">
        <f>'LOCK-T'!AC165</f>
        <v>Yes</v>
      </c>
    </row>
    <row r="13" spans="1:13" ht="120" customHeight="1" x14ac:dyDescent="0.2">
      <c r="A13" s="3" t="str">
        <f>'LOCK-T'!AB165</f>
        <v>No</v>
      </c>
    </row>
    <row r="14" spans="1:13" ht="39.950000000000003" customHeight="1" x14ac:dyDescent="0.2"/>
    <row r="15" spans="1:13" ht="39.950000000000003" customHeight="1" x14ac:dyDescent="0.2"/>
    <row r="16" spans="1:13" ht="39.950000000000003" customHeight="1" x14ac:dyDescent="0.2">
      <c r="A16" s="3" t="s">
        <v>141</v>
      </c>
    </row>
    <row r="17" spans="1:2" ht="39.950000000000003" customHeight="1" x14ac:dyDescent="0.2">
      <c r="A17" s="3">
        <v>1</v>
      </c>
      <c r="B17" s="213" t="str">
        <f>Translation!B125</f>
        <v>Characterized by a material humidity in balance with the environment at a temperature of 20°C and a relative humidity of the surrounding air that does not exceed 65%, if not for a few weeks per year.</v>
      </c>
    </row>
    <row r="18" spans="1:2" ht="39.950000000000003" customHeight="1" x14ac:dyDescent="0.2">
      <c r="A18" s="3">
        <v>2</v>
      </c>
      <c r="B18" s="213" t="str">
        <f>Translation!B126</f>
        <v>It is characterized by a material humidity in balance with the environment at a temperature of 20°C and a relative humidity of the surrounding air of more than 85% for only a few weeks a year.</v>
      </c>
    </row>
    <row r="19" spans="1:2" ht="39.950000000000003" customHeight="1" x14ac:dyDescent="0.2">
      <c r="A19" s="3">
        <v>3</v>
      </c>
      <c r="B19" s="213" t="str">
        <f>Translation!B127</f>
        <v>It has higher humidity than service class 2.</v>
      </c>
    </row>
    <row r="20" spans="1:2" ht="39.950000000000003" customHeight="1" x14ac:dyDescent="0.2"/>
    <row r="21" spans="1:2" ht="39.950000000000003" customHeight="1" x14ac:dyDescent="0.2">
      <c r="A21" s="3" t="s">
        <v>311</v>
      </c>
    </row>
    <row r="22" spans="1:2" ht="39.950000000000003" customHeight="1" x14ac:dyDescent="0.2">
      <c r="A22" s="3" t="str">
        <f>Translation!B128</f>
        <v>Permanent</v>
      </c>
      <c r="B22" s="213" t="str">
        <f>Translation!B133</f>
        <v>Own weight and non-removable loads during normal operation of the structure.</v>
      </c>
    </row>
    <row r="23" spans="1:2" ht="39.950000000000003" customHeight="1" x14ac:dyDescent="0.2">
      <c r="A23" s="3" t="str">
        <f>Translation!B129</f>
        <v>Long duration</v>
      </c>
      <c r="B23" s="213" t="str">
        <f>Translation!B134</f>
        <v>Permanent loads that may change during normal operation of the structure and variable loads related to warehouses and deposits.</v>
      </c>
    </row>
    <row r="24" spans="1:2" ht="39.950000000000003" customHeight="1" x14ac:dyDescent="0.2">
      <c r="A24" s="3" t="str">
        <f>Translation!B130</f>
        <v>Medium duration</v>
      </c>
      <c r="B24" s="213" t="str">
        <f>Translation!B135</f>
        <v>Variable loads of buildings, except those relating to warehouses and deposits.</v>
      </c>
    </row>
    <row r="25" spans="1:2" ht="39.950000000000003" customHeight="1" x14ac:dyDescent="0.2">
      <c r="A25" s="3" t="str">
        <f>Translation!B131</f>
        <v>Short duration</v>
      </c>
      <c r="B25" s="213" t="str">
        <f>Translation!B136</f>
        <v>Average wind action.</v>
      </c>
    </row>
    <row r="26" spans="1:2" ht="39.950000000000003" customHeight="1" x14ac:dyDescent="0.2">
      <c r="A26" s="3" t="str">
        <f>Translation!B132</f>
        <v>Instantaneous</v>
      </c>
      <c r="B26" s="213" t="str">
        <f>Translation!B137</f>
        <v>Peak wind action and exceptional action.</v>
      </c>
    </row>
    <row r="27" spans="1:2" ht="39.950000000000003" customHeight="1" x14ac:dyDescent="0.2"/>
    <row r="28" spans="1:2" ht="39.950000000000003" customHeight="1" x14ac:dyDescent="0.2"/>
    <row r="29" spans="1:2" ht="219.95" customHeight="1" x14ac:dyDescent="0.2">
      <c r="A29" s="3">
        <v>1</v>
      </c>
    </row>
    <row r="30" spans="1:2" ht="219.95" customHeight="1" x14ac:dyDescent="0.2">
      <c r="A30" s="3">
        <v>2</v>
      </c>
    </row>
    <row r="31" spans="1:2" ht="219.95" customHeight="1" x14ac:dyDescent="0.2"/>
    <row r="32" spans="1:2" ht="219.95" customHeight="1" x14ac:dyDescent="0.2"/>
    <row r="33" spans="6:6" ht="39.950000000000003" customHeight="1" x14ac:dyDescent="0.2"/>
    <row r="34" spans="6:6" ht="80.099999999999994" customHeight="1" x14ac:dyDescent="0.2">
      <c r="F34" t="s">
        <v>462</v>
      </c>
    </row>
    <row r="35" spans="6:6" ht="80.099999999999994" customHeight="1" x14ac:dyDescent="0.2">
      <c r="F35" t="s">
        <v>131</v>
      </c>
    </row>
    <row r="36" spans="6:6" ht="80.099999999999994" customHeight="1" x14ac:dyDescent="0.2">
      <c r="F36" t="s">
        <v>463</v>
      </c>
    </row>
    <row r="37" spans="6:6" ht="80.099999999999994" customHeight="1" x14ac:dyDescent="0.2">
      <c r="F37" t="s">
        <v>464</v>
      </c>
    </row>
    <row r="38" spans="6:6" ht="80.099999999999994" customHeight="1" x14ac:dyDescent="0.2">
      <c r="F38" t="s">
        <v>459</v>
      </c>
    </row>
    <row r="39" spans="6:6" ht="80.099999999999994" customHeight="1" x14ac:dyDescent="0.2">
      <c r="F39" t="s">
        <v>460</v>
      </c>
    </row>
    <row r="40" spans="6:6" ht="80.099999999999994" customHeight="1" x14ac:dyDescent="0.2">
      <c r="F40" t="s">
        <v>458</v>
      </c>
    </row>
    <row r="41" spans="6:6" ht="80.099999999999994" customHeight="1" x14ac:dyDescent="0.2">
      <c r="F41" t="s">
        <v>457</v>
      </c>
    </row>
    <row r="42" spans="6:6" ht="80.099999999999994" customHeight="1" x14ac:dyDescent="0.2">
      <c r="F42" t="s">
        <v>456</v>
      </c>
    </row>
    <row r="43" spans="6:6" ht="80.099999999999994" customHeight="1" x14ac:dyDescent="0.2">
      <c r="F43" t="s">
        <v>455</v>
      </c>
    </row>
    <row r="44" spans="6:6" ht="80.099999999999994" customHeight="1" x14ac:dyDescent="0.2">
      <c r="F44" t="s">
        <v>454</v>
      </c>
    </row>
    <row r="45" spans="6:6" ht="80.099999999999994" customHeight="1" x14ac:dyDescent="0.2">
      <c r="F45" t="s">
        <v>461</v>
      </c>
    </row>
    <row r="46" spans="6:6" ht="39.950000000000003" customHeight="1" x14ac:dyDescent="0.2"/>
    <row r="47" spans="6:6" ht="39.950000000000003" customHeight="1" x14ac:dyDescent="0.2"/>
    <row r="48" spans="6:6" ht="39.950000000000003" customHeight="1" x14ac:dyDescent="0.2"/>
    <row r="49" spans="1:1" ht="300" customHeight="1" x14ac:dyDescent="0.2">
      <c r="A49" s="3">
        <v>2</v>
      </c>
    </row>
    <row r="50" spans="1:1" ht="300" customHeight="1" x14ac:dyDescent="0.2"/>
    <row r="51" spans="1:1" ht="300" customHeight="1" x14ac:dyDescent="0.2"/>
    <row r="52" spans="1:1" ht="300" customHeight="1" x14ac:dyDescent="0.2"/>
    <row r="53" spans="1:1" ht="300" customHeight="1" x14ac:dyDescent="0.2"/>
    <row r="54" spans="1:1" ht="300" customHeight="1" x14ac:dyDescent="0.2"/>
    <row r="55" spans="1:1" ht="300" customHeight="1" x14ac:dyDescent="0.2"/>
    <row r="56" spans="1:1" ht="300" customHeight="1" x14ac:dyDescent="0.2"/>
    <row r="57" spans="1:1" ht="300" customHeight="1" x14ac:dyDescent="0.2"/>
    <row r="58" spans="1:1" ht="300" customHeight="1" x14ac:dyDescent="0.2"/>
    <row r="59" spans="1:1" ht="300" customHeight="1" x14ac:dyDescent="0.2"/>
    <row r="60" spans="1:1" ht="300" customHeight="1" x14ac:dyDescent="0.2"/>
    <row r="61" spans="1:1" ht="300" customHeight="1" x14ac:dyDescent="0.2"/>
    <row r="62" spans="1:1" ht="300" customHeight="1" x14ac:dyDescent="0.2"/>
    <row r="63" spans="1:1" ht="300" customHeight="1" x14ac:dyDescent="0.2"/>
    <row r="64" spans="1:1" ht="300" customHeight="1" x14ac:dyDescent="0.2"/>
    <row r="65" ht="300" customHeight="1" x14ac:dyDescent="0.2"/>
    <row r="66" ht="300" customHeight="1" x14ac:dyDescent="0.2"/>
    <row r="67" ht="300" customHeight="1" x14ac:dyDescent="0.2"/>
    <row r="68" ht="300" customHeight="1" x14ac:dyDescent="0.2"/>
    <row r="69" ht="300" customHeight="1" x14ac:dyDescent="0.2"/>
    <row r="70" ht="300" customHeight="1" x14ac:dyDescent="0.2"/>
    <row r="71" ht="300" customHeight="1" x14ac:dyDescent="0.2"/>
    <row r="72" ht="300" customHeight="1" x14ac:dyDescent="0.2"/>
    <row r="73" ht="300" customHeight="1" x14ac:dyDescent="0.2"/>
    <row r="74" ht="39.950000000000003" customHeight="1" x14ac:dyDescent="0.2"/>
    <row r="75" ht="39.950000000000003" customHeight="1" x14ac:dyDescent="0.2"/>
    <row r="76" ht="39.950000000000003" customHeight="1" x14ac:dyDescent="0.2"/>
    <row r="77" ht="39.950000000000003" customHeight="1" x14ac:dyDescent="0.2"/>
    <row r="78" ht="39.950000000000003" customHeight="1" x14ac:dyDescent="0.2"/>
    <row r="79" ht="39.950000000000003" customHeight="1" x14ac:dyDescent="0.2"/>
    <row r="80" ht="39.950000000000003" customHeight="1" x14ac:dyDescent="0.2"/>
    <row r="81" ht="39.950000000000003" customHeight="1" x14ac:dyDescent="0.2"/>
    <row r="82" ht="39.950000000000003" customHeight="1" x14ac:dyDescent="0.2"/>
    <row r="83" ht="39.950000000000003" customHeight="1" x14ac:dyDescent="0.2"/>
    <row r="84" ht="39.950000000000003" customHeight="1" x14ac:dyDescent="0.2"/>
    <row r="85" ht="39.950000000000003" customHeight="1" x14ac:dyDescent="0.2"/>
    <row r="86" ht="39.950000000000003" customHeight="1" x14ac:dyDescent="0.2"/>
    <row r="87" ht="39.950000000000003" customHeight="1" x14ac:dyDescent="0.2"/>
    <row r="88" ht="39.950000000000003" customHeight="1" x14ac:dyDescent="0.2"/>
    <row r="89" ht="39.950000000000003" customHeight="1" x14ac:dyDescent="0.2"/>
    <row r="90" ht="39.950000000000003" customHeight="1" x14ac:dyDescent="0.2"/>
    <row r="91" ht="39.950000000000003" customHeight="1" x14ac:dyDescent="0.2"/>
    <row r="92" ht="39.950000000000003" customHeight="1" x14ac:dyDescent="0.2"/>
    <row r="93" ht="39.950000000000003" customHeight="1" x14ac:dyDescent="0.2"/>
    <row r="94" ht="39.950000000000003" customHeight="1" x14ac:dyDescent="0.2"/>
    <row r="95" ht="39.950000000000003" customHeight="1" x14ac:dyDescent="0.2"/>
    <row r="96" ht="39.950000000000003" customHeight="1" x14ac:dyDescent="0.2"/>
    <row r="97" ht="39.950000000000003" customHeight="1" x14ac:dyDescent="0.2"/>
    <row r="98" ht="39.950000000000003" customHeight="1" x14ac:dyDescent="0.2"/>
    <row r="99" ht="39.950000000000003" customHeight="1" x14ac:dyDescent="0.2"/>
    <row r="100" ht="39.950000000000003" customHeight="1" x14ac:dyDescent="0.2"/>
    <row r="101" ht="39.950000000000003" customHeight="1" x14ac:dyDescent="0.2"/>
    <row r="102" ht="39.950000000000003" customHeight="1" x14ac:dyDescent="0.2"/>
    <row r="103" ht="39.950000000000003" customHeight="1" x14ac:dyDescent="0.2"/>
    <row r="104" ht="39.950000000000003" customHeight="1" x14ac:dyDescent="0.2"/>
    <row r="105" ht="39.950000000000003" customHeight="1" x14ac:dyDescent="0.2"/>
    <row r="106" ht="39.950000000000003" customHeight="1" x14ac:dyDescent="0.2"/>
    <row r="107" ht="39.950000000000003" customHeight="1" x14ac:dyDescent="0.2"/>
    <row r="108" ht="39.950000000000003" customHeight="1" x14ac:dyDescent="0.2"/>
    <row r="109" ht="39.950000000000003" customHeight="1" x14ac:dyDescent="0.2"/>
    <row r="110" ht="39.950000000000003" customHeight="1" x14ac:dyDescent="0.2"/>
    <row r="111" ht="39.950000000000003" customHeight="1" x14ac:dyDescent="0.2"/>
    <row r="112" ht="39.950000000000003" customHeight="1" x14ac:dyDescent="0.2"/>
    <row r="113" ht="39.950000000000003" customHeight="1" x14ac:dyDescent="0.2"/>
    <row r="114" ht="39.950000000000003" customHeight="1" x14ac:dyDescent="0.2"/>
    <row r="115" ht="39.950000000000003" customHeight="1" x14ac:dyDescent="0.2"/>
    <row r="116" ht="39.950000000000003" customHeight="1" x14ac:dyDescent="0.2"/>
    <row r="117" ht="39.950000000000003" customHeight="1" x14ac:dyDescent="0.2"/>
    <row r="118" ht="39.950000000000003" customHeight="1" x14ac:dyDescent="0.2"/>
    <row r="119" ht="39.950000000000003" customHeight="1" x14ac:dyDescent="0.2"/>
    <row r="120" ht="39.950000000000003" customHeight="1" x14ac:dyDescent="0.2"/>
    <row r="121" ht="39.950000000000003" customHeight="1" x14ac:dyDescent="0.2"/>
    <row r="122" ht="39.950000000000003" customHeight="1" x14ac:dyDescent="0.2"/>
    <row r="123" ht="39.950000000000003" customHeight="1" x14ac:dyDescent="0.2"/>
    <row r="124" ht="39.950000000000003" customHeight="1" x14ac:dyDescent="0.2"/>
    <row r="125" ht="39.950000000000003" customHeight="1" x14ac:dyDescent="0.2"/>
    <row r="126" ht="39.950000000000003" customHeight="1" x14ac:dyDescent="0.2"/>
    <row r="127" ht="39.950000000000003" customHeight="1" x14ac:dyDescent="0.2"/>
    <row r="128" ht="39.950000000000003" customHeight="1" x14ac:dyDescent="0.2"/>
    <row r="129" ht="39.950000000000003" customHeight="1" x14ac:dyDescent="0.2"/>
    <row r="130" ht="39.950000000000003" customHeight="1" x14ac:dyDescent="0.2"/>
    <row r="131" ht="39.950000000000003" customHeight="1" x14ac:dyDescent="0.2"/>
    <row r="132" ht="39.950000000000003" customHeight="1" x14ac:dyDescent="0.2"/>
    <row r="133" ht="39.950000000000003" customHeight="1" x14ac:dyDescent="0.2"/>
    <row r="134" ht="39.950000000000003" customHeight="1" x14ac:dyDescent="0.2"/>
    <row r="135" ht="39.950000000000003" customHeight="1" x14ac:dyDescent="0.2"/>
    <row r="136" ht="39.950000000000003" customHeight="1" x14ac:dyDescent="0.2"/>
    <row r="137" ht="39.950000000000003" customHeight="1" x14ac:dyDescent="0.2"/>
    <row r="138" ht="39.950000000000003" customHeight="1" x14ac:dyDescent="0.2"/>
    <row r="139" ht="39.950000000000003" customHeight="1" x14ac:dyDescent="0.2"/>
    <row r="140" ht="39.950000000000003" customHeight="1" x14ac:dyDescent="0.2"/>
    <row r="141" ht="39.950000000000003" customHeight="1" x14ac:dyDescent="0.2"/>
    <row r="142" ht="39.950000000000003" customHeight="1" x14ac:dyDescent="0.2"/>
    <row r="143" ht="39.950000000000003" customHeight="1" x14ac:dyDescent="0.2"/>
    <row r="144" ht="39.950000000000003" customHeight="1" x14ac:dyDescent="0.2"/>
    <row r="145" ht="39.950000000000003" customHeight="1" x14ac:dyDescent="0.2"/>
    <row r="146" ht="39.950000000000003" customHeight="1" x14ac:dyDescent="0.2"/>
    <row r="147" ht="39.950000000000003" customHeight="1" x14ac:dyDescent="0.2"/>
    <row r="148" ht="39.950000000000003" customHeight="1" x14ac:dyDescent="0.2"/>
    <row r="149" ht="39.950000000000003" customHeight="1" x14ac:dyDescent="0.2"/>
    <row r="150" ht="39.950000000000003" customHeight="1" x14ac:dyDescent="0.2"/>
    <row r="151" ht="39.950000000000003" customHeight="1" x14ac:dyDescent="0.2"/>
    <row r="152" ht="39.950000000000003" customHeight="1" x14ac:dyDescent="0.2"/>
    <row r="153" ht="39.950000000000003" customHeight="1" x14ac:dyDescent="0.2"/>
    <row r="154" ht="39.950000000000003" customHeight="1" x14ac:dyDescent="0.2"/>
    <row r="155" ht="39.950000000000003" customHeight="1" x14ac:dyDescent="0.2"/>
    <row r="156" ht="39.950000000000003" customHeight="1" x14ac:dyDescent="0.2"/>
    <row r="157" ht="39.950000000000003" customHeight="1" x14ac:dyDescent="0.2"/>
    <row r="158" ht="39.950000000000003" customHeight="1" x14ac:dyDescent="0.2"/>
    <row r="159" ht="39.950000000000003" customHeight="1" x14ac:dyDescent="0.2"/>
    <row r="160" ht="39.950000000000003" customHeight="1" x14ac:dyDescent="0.2"/>
    <row r="161" ht="39.950000000000003" customHeight="1" x14ac:dyDescent="0.2"/>
    <row r="162" ht="39.950000000000003" customHeight="1" x14ac:dyDescent="0.2"/>
    <row r="163" ht="39.950000000000003" customHeight="1" x14ac:dyDescent="0.2"/>
    <row r="164" ht="39.950000000000003" customHeight="1" x14ac:dyDescent="0.2"/>
    <row r="165" ht="39.950000000000003" customHeight="1" x14ac:dyDescent="0.2"/>
    <row r="166" ht="39.950000000000003" customHeight="1" x14ac:dyDescent="0.2"/>
    <row r="167" ht="39.950000000000003" customHeight="1" x14ac:dyDescent="0.2"/>
    <row r="168" ht="39.950000000000003" customHeight="1" x14ac:dyDescent="0.2"/>
    <row r="169" ht="39.950000000000003" customHeight="1" x14ac:dyDescent="0.2"/>
    <row r="170" ht="39.950000000000003" customHeight="1" x14ac:dyDescent="0.2"/>
    <row r="171" ht="39.950000000000003" customHeight="1" x14ac:dyDescent="0.2"/>
    <row r="172" ht="39.950000000000003" customHeight="1" x14ac:dyDescent="0.2"/>
    <row r="173" ht="39.950000000000003" customHeight="1" x14ac:dyDescent="0.2"/>
    <row r="174" ht="39.950000000000003" customHeight="1" x14ac:dyDescent="0.2"/>
    <row r="175" ht="39.950000000000003" customHeight="1" x14ac:dyDescent="0.2"/>
    <row r="176" ht="39.950000000000003" customHeight="1" x14ac:dyDescent="0.2"/>
    <row r="177" ht="39.950000000000003" customHeight="1" x14ac:dyDescent="0.2"/>
    <row r="178" ht="39.950000000000003" customHeight="1" x14ac:dyDescent="0.2"/>
    <row r="179" ht="39.950000000000003" customHeight="1" x14ac:dyDescent="0.2"/>
    <row r="180" ht="39.950000000000003" customHeight="1" x14ac:dyDescent="0.2"/>
    <row r="181" ht="39.950000000000003" customHeight="1" x14ac:dyDescent="0.2"/>
    <row r="182" ht="39.950000000000003" customHeight="1" x14ac:dyDescent="0.2"/>
    <row r="183" ht="39.950000000000003" customHeight="1" x14ac:dyDescent="0.2"/>
    <row r="184" ht="39.950000000000003" customHeight="1" x14ac:dyDescent="0.2"/>
    <row r="185" ht="39.950000000000003" customHeight="1" x14ac:dyDescent="0.2"/>
    <row r="186" ht="39.950000000000003" customHeight="1" x14ac:dyDescent="0.2"/>
    <row r="187" ht="39.950000000000003" customHeight="1" x14ac:dyDescent="0.2"/>
    <row r="188" ht="39.950000000000003" customHeight="1" x14ac:dyDescent="0.2"/>
    <row r="189" ht="39.950000000000003" customHeight="1" x14ac:dyDescent="0.2"/>
    <row r="190" ht="39.950000000000003" customHeight="1" x14ac:dyDescent="0.2"/>
    <row r="191" ht="39.950000000000003" customHeight="1" x14ac:dyDescent="0.2"/>
    <row r="192" ht="39.950000000000003" customHeight="1" x14ac:dyDescent="0.2"/>
    <row r="193" ht="39.950000000000003" customHeight="1" x14ac:dyDescent="0.2"/>
    <row r="194" ht="39.950000000000003" customHeight="1" x14ac:dyDescent="0.2"/>
    <row r="195" ht="39.950000000000003" customHeight="1" x14ac:dyDescent="0.2"/>
    <row r="196" ht="39.950000000000003" customHeight="1" x14ac:dyDescent="0.2"/>
    <row r="197" ht="39.950000000000003" customHeight="1" x14ac:dyDescent="0.2"/>
    <row r="198" ht="39.950000000000003" customHeight="1" x14ac:dyDescent="0.2"/>
    <row r="199" ht="99.95" customHeight="1" x14ac:dyDescent="0.2"/>
    <row r="200" ht="99.95" customHeight="1" x14ac:dyDescent="0.2"/>
    <row r="201" ht="99.95" customHeight="1" x14ac:dyDescent="0.2"/>
    <row r="202" ht="99.95" customHeight="1" x14ac:dyDescent="0.2"/>
  </sheetData>
  <sheetProtection algorithmName="SHA-512" hashValue="KCqy+0mgvKISEe4x5VEQH1qp6VvR/cApYUksCg8GCQA8Uw8bpxqMWNG+vKA/6gLNP7M+bG9pQTFeRY4NvG2yRg==" saltValue="eDrrja3AcOENQu3cyuetOQ==" spinCount="100000" sheet="1" objects="1" scenarios="1" select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EADD-7324-401E-92D7-033BEB91F7C6}">
  <sheetPr codeName="Foglio13"/>
  <dimension ref="A1:S210"/>
  <sheetViews>
    <sheetView showGridLines="0" zoomScale="70" zoomScaleNormal="70" workbookViewId="0">
      <pane ySplit="1" topLeftCell="A2" activePane="bottomLeft" state="frozen"/>
      <selection activeCell="J52" sqref="J52"/>
      <selection pane="bottomLeft" activeCell="J52" sqref="J52"/>
    </sheetView>
  </sheetViews>
  <sheetFormatPr defaultRowHeight="30" customHeight="1" x14ac:dyDescent="0.2"/>
  <cols>
    <col min="1" max="1" width="9" style="2"/>
    <col min="2" max="2" width="30.625" style="331" customWidth="1"/>
    <col min="4" max="5" width="30.625" customWidth="1"/>
    <col min="6" max="6" width="30.625" style="336" customWidth="1"/>
    <col min="7" max="9" width="30.625" customWidth="1"/>
    <col min="18" max="18" width="30.625" customWidth="1"/>
  </cols>
  <sheetData>
    <row r="1" spans="1:19" ht="30" customHeight="1" x14ac:dyDescent="0.2">
      <c r="A1" s="2">
        <v>1</v>
      </c>
      <c r="B1" s="331" t="str">
        <f>'LOCK-T'!M34</f>
        <v>EN</v>
      </c>
      <c r="D1" s="332" t="s">
        <v>525</v>
      </c>
      <c r="E1" s="332" t="s">
        <v>526</v>
      </c>
      <c r="F1" s="332" t="s">
        <v>527</v>
      </c>
      <c r="G1" s="332" t="s">
        <v>528</v>
      </c>
      <c r="H1" s="332" t="s">
        <v>529</v>
      </c>
      <c r="I1" s="332" t="s">
        <v>530</v>
      </c>
      <c r="R1" s="332"/>
    </row>
    <row r="2" spans="1:19" ht="30" customHeight="1" x14ac:dyDescent="0.2">
      <c r="A2" s="2">
        <v>2</v>
      </c>
      <c r="B2" s="331" t="str">
        <f>HLOOKUP($B$1,$D$1:$I$206,A2,FALSE)</f>
        <v>Yes</v>
      </c>
      <c r="D2" s="331" t="s">
        <v>531</v>
      </c>
      <c r="E2" s="331" t="s">
        <v>532</v>
      </c>
      <c r="F2" s="333" t="s">
        <v>533</v>
      </c>
      <c r="G2" s="331" t="s">
        <v>534</v>
      </c>
      <c r="H2" s="331" t="s">
        <v>535</v>
      </c>
      <c r="I2" s="331" t="s">
        <v>536</v>
      </c>
      <c r="R2" s="331"/>
      <c r="S2">
        <f>IF(R2=G2,0,1111)</f>
        <v>1111</v>
      </c>
    </row>
    <row r="3" spans="1:19" ht="30" customHeight="1" x14ac:dyDescent="0.2">
      <c r="A3" s="2">
        <v>3</v>
      </c>
      <c r="B3" s="331" t="str">
        <f t="shared" ref="B3:B66" si="0">HLOOKUP($B$1,$D$1:$I$206,A3,FALSE)</f>
        <v>No</v>
      </c>
      <c r="D3" s="331" t="s">
        <v>537</v>
      </c>
      <c r="E3" s="331" t="s">
        <v>537</v>
      </c>
      <c r="F3" s="333" t="s">
        <v>538</v>
      </c>
      <c r="G3" s="331" t="s">
        <v>539</v>
      </c>
      <c r="H3" s="331" t="s">
        <v>537</v>
      </c>
      <c r="I3" s="331" t="s">
        <v>540</v>
      </c>
      <c r="R3" s="331"/>
      <c r="S3">
        <f t="shared" ref="S3:S66" si="1">IF(R3=G3,0,1111)</f>
        <v>1111</v>
      </c>
    </row>
    <row r="4" spans="1:19" ht="30" customHeight="1" x14ac:dyDescent="0.2">
      <c r="A4" s="2">
        <v>4</v>
      </c>
      <c r="B4" s="331" t="str">
        <f t="shared" si="0"/>
        <v>Beam</v>
      </c>
      <c r="D4" s="331" t="s">
        <v>3</v>
      </c>
      <c r="E4" s="331" t="s">
        <v>541</v>
      </c>
      <c r="F4" s="333" t="s">
        <v>542</v>
      </c>
      <c r="G4" s="331" t="s">
        <v>543</v>
      </c>
      <c r="H4" s="331" t="s">
        <v>544</v>
      </c>
      <c r="I4" s="331" t="s">
        <v>544</v>
      </c>
      <c r="R4" s="331"/>
      <c r="S4">
        <f t="shared" si="1"/>
        <v>1111</v>
      </c>
    </row>
    <row r="5" spans="1:19" ht="30" customHeight="1" x14ac:dyDescent="0.2">
      <c r="A5" s="2">
        <v>5</v>
      </c>
      <c r="B5" s="331" t="str">
        <f t="shared" si="0"/>
        <v>Column</v>
      </c>
      <c r="D5" s="331" t="s">
        <v>240</v>
      </c>
      <c r="E5" s="331" t="s">
        <v>545</v>
      </c>
      <c r="F5" s="333" t="s">
        <v>546</v>
      </c>
      <c r="G5" s="331" t="s">
        <v>547</v>
      </c>
      <c r="H5" s="331" t="s">
        <v>548</v>
      </c>
      <c r="I5" s="331" t="s">
        <v>548</v>
      </c>
      <c r="R5" s="331"/>
      <c r="S5">
        <f t="shared" si="1"/>
        <v>1111</v>
      </c>
    </row>
    <row r="6" spans="1:19" ht="30" customHeight="1" x14ac:dyDescent="0.2">
      <c r="A6" s="2">
        <v>6</v>
      </c>
      <c r="B6" s="331" t="str">
        <f t="shared" si="0"/>
        <v>Notch in column</v>
      </c>
      <c r="D6" s="331" t="s">
        <v>217</v>
      </c>
      <c r="E6" s="331" t="s">
        <v>180</v>
      </c>
      <c r="F6" s="333" t="s">
        <v>1134</v>
      </c>
      <c r="G6" s="331" t="s">
        <v>549</v>
      </c>
      <c r="H6" s="331" t="s">
        <v>550</v>
      </c>
      <c r="I6" s="331" t="s">
        <v>551</v>
      </c>
      <c r="R6" s="331"/>
      <c r="S6">
        <f t="shared" si="1"/>
        <v>1111</v>
      </c>
    </row>
    <row r="7" spans="1:19" ht="30" customHeight="1" x14ac:dyDescent="0.2">
      <c r="A7" s="2">
        <v>7</v>
      </c>
      <c r="B7" s="331" t="str">
        <f t="shared" si="0"/>
        <v>Notch in main beam</v>
      </c>
      <c r="D7" s="331" t="s">
        <v>216</v>
      </c>
      <c r="E7" s="331" t="s">
        <v>1121</v>
      </c>
      <c r="F7" s="333" t="s">
        <v>1135</v>
      </c>
      <c r="G7" s="331" t="s">
        <v>552</v>
      </c>
      <c r="H7" s="331" t="s">
        <v>553</v>
      </c>
      <c r="I7" s="331" t="s">
        <v>554</v>
      </c>
      <c r="R7" s="331"/>
      <c r="S7">
        <f t="shared" si="1"/>
        <v>1111</v>
      </c>
    </row>
    <row r="8" spans="1:19" ht="30" customHeight="1" x14ac:dyDescent="0.2">
      <c r="A8" s="2">
        <v>8</v>
      </c>
      <c r="B8" s="331" t="str">
        <f t="shared" si="0"/>
        <v>Notch in secondary beam</v>
      </c>
      <c r="D8" s="331" t="s">
        <v>218</v>
      </c>
      <c r="E8" s="331" t="s">
        <v>1122</v>
      </c>
      <c r="F8" s="333" t="s">
        <v>1136</v>
      </c>
      <c r="G8" s="331" t="s">
        <v>555</v>
      </c>
      <c r="H8" s="331" t="s">
        <v>556</v>
      </c>
      <c r="I8" s="331" t="s">
        <v>557</v>
      </c>
      <c r="R8" s="331"/>
      <c r="S8">
        <f t="shared" si="1"/>
        <v>1111</v>
      </c>
    </row>
    <row r="9" spans="1:19" ht="35.1" customHeight="1" x14ac:dyDescent="0.2">
      <c r="A9" s="2">
        <v>9</v>
      </c>
      <c r="B9" s="331" t="str">
        <f t="shared" si="0"/>
        <v>Inclined screws</v>
      </c>
      <c r="D9" s="331" t="s">
        <v>219</v>
      </c>
      <c r="E9" s="331" t="s">
        <v>558</v>
      </c>
      <c r="F9" s="333" t="s">
        <v>559</v>
      </c>
      <c r="G9" s="331" t="s">
        <v>560</v>
      </c>
      <c r="H9" s="331" t="s">
        <v>561</v>
      </c>
      <c r="I9" s="331" t="s">
        <v>562</v>
      </c>
      <c r="L9" t="s">
        <v>515</v>
      </c>
      <c r="R9" s="331"/>
      <c r="S9">
        <f t="shared" si="1"/>
        <v>1111</v>
      </c>
    </row>
    <row r="10" spans="1:19" ht="35.1" customHeight="1" x14ac:dyDescent="0.2">
      <c r="A10" s="2">
        <v>10</v>
      </c>
      <c r="B10" s="331" t="str">
        <f t="shared" si="0"/>
        <v>Screws geometry and characteristics</v>
      </c>
      <c r="D10" s="331" t="s">
        <v>8</v>
      </c>
      <c r="E10" s="331" t="s">
        <v>563</v>
      </c>
      <c r="F10" s="333" t="s">
        <v>564</v>
      </c>
      <c r="G10" s="331" t="s">
        <v>565</v>
      </c>
      <c r="H10" s="331" t="s">
        <v>566</v>
      </c>
      <c r="I10" s="331" t="s">
        <v>567</v>
      </c>
      <c r="L10" t="s">
        <v>516</v>
      </c>
      <c r="R10" s="331"/>
      <c r="S10">
        <f t="shared" si="1"/>
        <v>1111</v>
      </c>
    </row>
    <row r="11" spans="1:19" ht="35.1" customHeight="1" x14ac:dyDescent="0.2">
      <c r="A11" s="2">
        <v>11</v>
      </c>
      <c r="B11" s="331" t="str">
        <f t="shared" si="0"/>
        <v>Screw type</v>
      </c>
      <c r="D11" s="331" t="s">
        <v>9</v>
      </c>
      <c r="E11" s="331" t="s">
        <v>568</v>
      </c>
      <c r="F11" s="333" t="s">
        <v>1137</v>
      </c>
      <c r="G11" s="331" t="s">
        <v>569</v>
      </c>
      <c r="H11" s="331" t="s">
        <v>570</v>
      </c>
      <c r="I11" s="331" t="s">
        <v>571</v>
      </c>
      <c r="L11" t="s">
        <v>520</v>
      </c>
      <c r="R11" s="331"/>
      <c r="S11">
        <f t="shared" si="1"/>
        <v>1111</v>
      </c>
    </row>
    <row r="12" spans="1:19" ht="35.1" customHeight="1" x14ac:dyDescent="0.2">
      <c r="A12" s="2">
        <v>12</v>
      </c>
      <c r="B12" s="331" t="str">
        <f t="shared" si="0"/>
        <v>Diameter</v>
      </c>
      <c r="D12" s="331" t="s">
        <v>10</v>
      </c>
      <c r="E12" s="331" t="s">
        <v>572</v>
      </c>
      <c r="F12" s="333" t="s">
        <v>573</v>
      </c>
      <c r="G12" s="331" t="s">
        <v>574</v>
      </c>
      <c r="H12" s="331" t="s">
        <v>575</v>
      </c>
      <c r="I12" s="331" t="s">
        <v>576</v>
      </c>
      <c r="L12" t="s">
        <v>517</v>
      </c>
      <c r="R12" s="331"/>
      <c r="S12">
        <f t="shared" si="1"/>
        <v>1111</v>
      </c>
    </row>
    <row r="13" spans="1:19" ht="35.1" customHeight="1" x14ac:dyDescent="0.2">
      <c r="A13" s="2">
        <v>13</v>
      </c>
      <c r="B13" s="331" t="str">
        <f t="shared" si="0"/>
        <v>Length</v>
      </c>
      <c r="D13" s="331" t="s">
        <v>11</v>
      </c>
      <c r="E13" s="331" t="s">
        <v>577</v>
      </c>
      <c r="F13" s="333" t="s">
        <v>578</v>
      </c>
      <c r="G13" s="331" t="s">
        <v>579</v>
      </c>
      <c r="H13" s="331" t="s">
        <v>580</v>
      </c>
      <c r="I13" s="331" t="s">
        <v>581</v>
      </c>
      <c r="L13" t="s">
        <v>518</v>
      </c>
      <c r="R13" s="331"/>
      <c r="S13">
        <f t="shared" si="1"/>
        <v>1111</v>
      </c>
    </row>
    <row r="14" spans="1:19" ht="35.1" customHeight="1" x14ac:dyDescent="0.2">
      <c r="A14" s="2">
        <v>14</v>
      </c>
      <c r="B14" s="331" t="str">
        <f t="shared" si="0"/>
        <v>Thread</v>
      </c>
      <c r="D14" s="331" t="s">
        <v>582</v>
      </c>
      <c r="E14" s="331" t="s">
        <v>583</v>
      </c>
      <c r="F14" s="333" t="s">
        <v>584</v>
      </c>
      <c r="G14" s="331" t="s">
        <v>585</v>
      </c>
      <c r="H14" s="331" t="s">
        <v>586</v>
      </c>
      <c r="I14" s="331" t="s">
        <v>586</v>
      </c>
      <c r="L14" t="s">
        <v>519</v>
      </c>
      <c r="R14" s="331"/>
      <c r="S14">
        <f t="shared" si="1"/>
        <v>1111</v>
      </c>
    </row>
    <row r="15" spans="1:19" ht="30" customHeight="1" x14ac:dyDescent="0.2">
      <c r="A15" s="2">
        <v>15</v>
      </c>
      <c r="B15" s="331" t="str">
        <f t="shared" si="0"/>
        <v>Timber</v>
      </c>
      <c r="D15" s="331" t="s">
        <v>45</v>
      </c>
      <c r="E15" s="331" t="s">
        <v>1127</v>
      </c>
      <c r="F15" s="333" t="s">
        <v>587</v>
      </c>
      <c r="G15" s="331" t="s">
        <v>588</v>
      </c>
      <c r="H15" s="331" t="s">
        <v>589</v>
      </c>
      <c r="I15" s="331" t="s">
        <v>590</v>
      </c>
      <c r="R15" s="331"/>
      <c r="S15">
        <f t="shared" si="1"/>
        <v>1111</v>
      </c>
    </row>
    <row r="16" spans="1:19" ht="134.25" customHeight="1" x14ac:dyDescent="0.2">
      <c r="A16" s="2">
        <v>16</v>
      </c>
      <c r="B16" s="331" t="str">
        <f t="shared" si="0"/>
        <v>The pre-drill is not required for fastening screws on main and/or secondary element, with characteristic density ρk≤420 kg/ m3. The pre-drill is mandatory on primary or secondary beam with characteristic density ρk&gt;420 kg/m3. For screws on column, pre-drilling is always mandatory.</v>
      </c>
      <c r="D16" s="331" t="s">
        <v>591</v>
      </c>
      <c r="E16" s="331" t="s">
        <v>592</v>
      </c>
      <c r="F16" s="333" t="s">
        <v>1174</v>
      </c>
      <c r="G16" s="331" t="s">
        <v>593</v>
      </c>
      <c r="H16" s="331" t="s">
        <v>1219</v>
      </c>
      <c r="I16" s="331" t="s">
        <v>594</v>
      </c>
      <c r="R16" s="331"/>
      <c r="S16">
        <f t="shared" si="1"/>
        <v>1111</v>
      </c>
    </row>
    <row r="17" spans="1:19" ht="30" customHeight="1" x14ac:dyDescent="0.2">
      <c r="A17" s="2">
        <v>17</v>
      </c>
      <c r="B17" s="331" t="str">
        <f t="shared" si="0"/>
        <v>USE PERCENTAGE OF CONNECTION</v>
      </c>
      <c r="D17" s="331" t="s">
        <v>484</v>
      </c>
      <c r="E17" s="331" t="s">
        <v>1123</v>
      </c>
      <c r="F17" s="333" t="s">
        <v>1175</v>
      </c>
      <c r="G17" s="331" t="s">
        <v>595</v>
      </c>
      <c r="H17" s="331" t="s">
        <v>596</v>
      </c>
      <c r="I17" s="331" t="s">
        <v>1129</v>
      </c>
      <c r="R17" s="331"/>
      <c r="S17">
        <f t="shared" si="1"/>
        <v>1111</v>
      </c>
    </row>
    <row r="18" spans="1:19" ht="30" customHeight="1" x14ac:dyDescent="0.2">
      <c r="A18" s="2">
        <v>18</v>
      </c>
      <c r="B18" s="331" t="str">
        <f t="shared" si="0"/>
        <v>6.1 Vertical shear (Fv)</v>
      </c>
      <c r="D18" s="331" t="s">
        <v>481</v>
      </c>
      <c r="E18" s="331" t="s">
        <v>597</v>
      </c>
      <c r="F18" s="333" t="s">
        <v>1176</v>
      </c>
      <c r="G18" s="331" t="s">
        <v>598</v>
      </c>
      <c r="H18" s="331" t="s">
        <v>599</v>
      </c>
      <c r="I18" s="331" t="s">
        <v>599</v>
      </c>
      <c r="R18" s="331"/>
      <c r="S18">
        <f t="shared" si="1"/>
        <v>1111</v>
      </c>
    </row>
    <row r="19" spans="1:19" ht="30" customHeight="1" x14ac:dyDescent="0.2">
      <c r="A19" s="2">
        <v>19</v>
      </c>
      <c r="B19" s="331" t="str">
        <f t="shared" si="0"/>
        <v>6.2 Lifting shear (Fup)</v>
      </c>
      <c r="D19" s="331" t="s">
        <v>497</v>
      </c>
      <c r="E19" s="331" t="s">
        <v>600</v>
      </c>
      <c r="F19" s="333" t="s">
        <v>1138</v>
      </c>
      <c r="G19" s="331" t="s">
        <v>601</v>
      </c>
      <c r="H19" s="331" t="s">
        <v>602</v>
      </c>
      <c r="I19" s="331" t="s">
        <v>1131</v>
      </c>
      <c r="R19" s="331"/>
      <c r="S19">
        <f t="shared" si="1"/>
        <v>1111</v>
      </c>
    </row>
    <row r="20" spans="1:19" ht="30" customHeight="1" x14ac:dyDescent="0.2">
      <c r="A20" s="2">
        <v>20</v>
      </c>
      <c r="B20" s="331" t="str">
        <f t="shared" si="0"/>
        <v>7. Combined load</v>
      </c>
      <c r="D20" s="331" t="s">
        <v>485</v>
      </c>
      <c r="E20" s="331" t="s">
        <v>603</v>
      </c>
      <c r="F20" s="333" t="s">
        <v>1139</v>
      </c>
      <c r="G20" s="331" t="s">
        <v>604</v>
      </c>
      <c r="H20" s="331" t="s">
        <v>605</v>
      </c>
      <c r="I20" s="331" t="s">
        <v>1130</v>
      </c>
      <c r="R20" s="331"/>
      <c r="S20">
        <f t="shared" si="1"/>
        <v>1111</v>
      </c>
    </row>
    <row r="21" spans="1:19" ht="30" customHeight="1" x14ac:dyDescent="0.2">
      <c r="A21" s="2">
        <v>21</v>
      </c>
      <c r="B21" s="331" t="str">
        <f t="shared" si="0"/>
        <v>6.3 Axial (Fax)</v>
      </c>
      <c r="D21" s="331" t="s">
        <v>482</v>
      </c>
      <c r="E21" s="331" t="s">
        <v>606</v>
      </c>
      <c r="F21" s="333" t="s">
        <v>606</v>
      </c>
      <c r="G21" s="331" t="s">
        <v>607</v>
      </c>
      <c r="H21" s="331" t="s">
        <v>606</v>
      </c>
      <c r="I21" s="331" t="s">
        <v>606</v>
      </c>
      <c r="R21" s="331"/>
      <c r="S21">
        <f t="shared" si="1"/>
        <v>1111</v>
      </c>
    </row>
    <row r="22" spans="1:19" ht="30" customHeight="1" x14ac:dyDescent="0.2">
      <c r="A22" s="2">
        <v>22</v>
      </c>
      <c r="B22" s="331" t="str">
        <f t="shared" si="0"/>
        <v>6.4 Lateral shear load (Flat)</v>
      </c>
      <c r="D22" s="331" t="s">
        <v>483</v>
      </c>
      <c r="E22" s="331" t="s">
        <v>1128</v>
      </c>
      <c r="F22" s="333" t="s">
        <v>1140</v>
      </c>
      <c r="G22" s="331" t="s">
        <v>610</v>
      </c>
      <c r="H22" s="331" t="s">
        <v>611</v>
      </c>
      <c r="I22" s="331" t="s">
        <v>611</v>
      </c>
      <c r="R22" s="331"/>
      <c r="S22">
        <f t="shared" si="1"/>
        <v>1111</v>
      </c>
    </row>
    <row r="23" spans="1:19" ht="42.75" customHeight="1" x14ac:dyDescent="0.2">
      <c r="A23" s="2">
        <v>23</v>
      </c>
      <c r="B23" s="331" t="str">
        <f t="shared" si="0"/>
        <v>CALCULATION OF LOCK T CONCEALED TIMBER-TO-TIMBER CONNECTOR</v>
      </c>
      <c r="D23" s="331" t="s">
        <v>488</v>
      </c>
      <c r="E23" s="331" t="s">
        <v>612</v>
      </c>
      <c r="F23" s="333" t="s">
        <v>613</v>
      </c>
      <c r="G23" s="331" t="s">
        <v>614</v>
      </c>
      <c r="H23" s="331" t="s">
        <v>615</v>
      </c>
      <c r="I23" s="331" t="s">
        <v>616</v>
      </c>
      <c r="R23" s="331"/>
      <c r="S23">
        <f t="shared" si="1"/>
        <v>1111</v>
      </c>
    </row>
    <row r="24" spans="1:19" ht="30" customHeight="1" x14ac:dyDescent="0.2">
      <c r="A24" s="2">
        <v>24</v>
      </c>
      <c r="B24" s="331" t="str">
        <f t="shared" si="0"/>
        <v xml:space="preserve">1. General information </v>
      </c>
      <c r="D24" s="331" t="s">
        <v>259</v>
      </c>
      <c r="E24" s="331" t="s">
        <v>617</v>
      </c>
      <c r="F24" s="333" t="s">
        <v>618</v>
      </c>
      <c r="G24" s="331" t="s">
        <v>619</v>
      </c>
      <c r="H24" s="331" t="s">
        <v>620</v>
      </c>
      <c r="I24" s="331" t="s">
        <v>621</v>
      </c>
      <c r="R24" s="331"/>
      <c r="S24">
        <f t="shared" si="1"/>
        <v>1111</v>
      </c>
    </row>
    <row r="25" spans="1:19" ht="30" customHeight="1" x14ac:dyDescent="0.2">
      <c r="A25" s="2">
        <v>25</v>
      </c>
      <c r="B25" s="331" t="str">
        <f t="shared" si="0"/>
        <v>Date</v>
      </c>
      <c r="D25" s="331" t="s">
        <v>256</v>
      </c>
      <c r="E25" s="331" t="s">
        <v>622</v>
      </c>
      <c r="F25" s="333" t="s">
        <v>623</v>
      </c>
      <c r="G25" s="331" t="s">
        <v>622</v>
      </c>
      <c r="H25" s="331" t="s">
        <v>624</v>
      </c>
      <c r="I25" s="331" t="s">
        <v>256</v>
      </c>
      <c r="R25" s="331"/>
      <c r="S25">
        <f t="shared" si="1"/>
        <v>1111</v>
      </c>
    </row>
    <row r="26" spans="1:19" ht="30" customHeight="1" x14ac:dyDescent="0.2">
      <c r="A26" s="2">
        <v>26</v>
      </c>
      <c r="B26" s="331" t="str">
        <f t="shared" si="0"/>
        <v>RothoBlaas technical salesman</v>
      </c>
      <c r="D26" s="331" t="s">
        <v>331</v>
      </c>
      <c r="E26" s="331" t="s">
        <v>625</v>
      </c>
      <c r="F26" s="333" t="s">
        <v>626</v>
      </c>
      <c r="G26" s="331" t="s">
        <v>627</v>
      </c>
      <c r="H26" s="331" t="s">
        <v>628</v>
      </c>
      <c r="I26" s="331" t="s">
        <v>628</v>
      </c>
      <c r="R26" s="331"/>
      <c r="S26">
        <f t="shared" si="1"/>
        <v>1111</v>
      </c>
    </row>
    <row r="27" spans="1:19" ht="30" customHeight="1" x14ac:dyDescent="0.2">
      <c r="A27" s="2">
        <v>27</v>
      </c>
      <c r="B27" s="331" t="str">
        <f t="shared" si="0"/>
        <v>Project</v>
      </c>
      <c r="D27" s="331" t="s">
        <v>257</v>
      </c>
      <c r="E27" s="331" t="s">
        <v>1106</v>
      </c>
      <c r="F27" s="333" t="s">
        <v>629</v>
      </c>
      <c r="G27" s="331" t="s">
        <v>630</v>
      </c>
      <c r="H27" s="331" t="s">
        <v>631</v>
      </c>
      <c r="I27" s="331" t="s">
        <v>632</v>
      </c>
      <c r="R27" s="331"/>
      <c r="S27">
        <f t="shared" si="1"/>
        <v>1111</v>
      </c>
    </row>
    <row r="28" spans="1:19" ht="30" customHeight="1" x14ac:dyDescent="0.2">
      <c r="A28" s="2">
        <v>28</v>
      </c>
      <c r="B28" s="331" t="str">
        <f t="shared" si="0"/>
        <v>Designer</v>
      </c>
      <c r="D28" s="331" t="s">
        <v>260</v>
      </c>
      <c r="E28" s="331" t="s">
        <v>633</v>
      </c>
      <c r="F28" s="333" t="s">
        <v>634</v>
      </c>
      <c r="G28" s="331" t="s">
        <v>635</v>
      </c>
      <c r="H28" s="331" t="s">
        <v>636</v>
      </c>
      <c r="I28" s="331" t="s">
        <v>637</v>
      </c>
      <c r="R28" s="331"/>
      <c r="S28">
        <f t="shared" si="1"/>
        <v>1111</v>
      </c>
    </row>
    <row r="29" spans="1:19" ht="30" customHeight="1" x14ac:dyDescent="0.2">
      <c r="A29" s="2">
        <v>29</v>
      </c>
      <c r="B29" s="331" t="str">
        <f t="shared" si="0"/>
        <v>Calculation standard</v>
      </c>
      <c r="D29" s="331" t="s">
        <v>332</v>
      </c>
      <c r="E29" s="331" t="s">
        <v>638</v>
      </c>
      <c r="F29" s="333" t="s">
        <v>639</v>
      </c>
      <c r="G29" s="331" t="s">
        <v>640</v>
      </c>
      <c r="H29" s="331" t="s">
        <v>641</v>
      </c>
      <c r="I29" s="331" t="s">
        <v>641</v>
      </c>
      <c r="R29" s="331"/>
      <c r="S29">
        <f t="shared" si="1"/>
        <v>1111</v>
      </c>
    </row>
    <row r="30" spans="1:19" ht="30" customHeight="1" x14ac:dyDescent="0.2">
      <c r="A30" s="2">
        <v>30</v>
      </c>
      <c r="B30" s="331" t="str">
        <f t="shared" si="0"/>
        <v>Connection nr.</v>
      </c>
      <c r="D30" s="331" t="s">
        <v>333</v>
      </c>
      <c r="E30" s="331" t="s">
        <v>642</v>
      </c>
      <c r="F30" s="333" t="s">
        <v>643</v>
      </c>
      <c r="G30" s="331" t="s">
        <v>644</v>
      </c>
      <c r="H30" s="331" t="s">
        <v>645</v>
      </c>
      <c r="I30" s="331" t="s">
        <v>646</v>
      </c>
      <c r="R30" s="331"/>
      <c r="S30">
        <f t="shared" si="1"/>
        <v>1111</v>
      </c>
    </row>
    <row r="31" spans="1:19" ht="30" customHeight="1" x14ac:dyDescent="0.2">
      <c r="A31" s="2">
        <v>31</v>
      </c>
      <c r="B31" s="331" t="str">
        <f t="shared" si="0"/>
        <v>Notes</v>
      </c>
      <c r="D31" s="331" t="s">
        <v>334</v>
      </c>
      <c r="E31" s="331" t="s">
        <v>647</v>
      </c>
      <c r="F31" s="333" t="s">
        <v>648</v>
      </c>
      <c r="G31" s="331" t="s">
        <v>647</v>
      </c>
      <c r="H31" s="331" t="s">
        <v>649</v>
      </c>
      <c r="I31" s="331" t="s">
        <v>650</v>
      </c>
      <c r="R31" s="331"/>
      <c r="S31">
        <f t="shared" si="1"/>
        <v>1111</v>
      </c>
    </row>
    <row r="32" spans="1:19" ht="30" customHeight="1" x14ac:dyDescent="0.2">
      <c r="A32" s="2">
        <v>32</v>
      </c>
      <c r="B32" s="331" t="str">
        <f t="shared" si="0"/>
        <v xml:space="preserve">3. Design shear strength </v>
      </c>
      <c r="D32" s="331" t="s">
        <v>1283</v>
      </c>
      <c r="E32" s="331" t="s">
        <v>1284</v>
      </c>
      <c r="F32" s="333" t="s">
        <v>1285</v>
      </c>
      <c r="G32" s="331" t="s">
        <v>1286</v>
      </c>
      <c r="H32" s="331" t="s">
        <v>1287</v>
      </c>
      <c r="I32" s="331" t="s">
        <v>1288</v>
      </c>
      <c r="R32" s="331"/>
      <c r="S32">
        <f t="shared" si="1"/>
        <v>1111</v>
      </c>
    </row>
    <row r="33" spans="1:19" ht="30" customHeight="1" x14ac:dyDescent="0.2">
      <c r="A33" s="2">
        <v>33</v>
      </c>
      <c r="B33" s="331" t="str">
        <f t="shared" si="0"/>
        <v>Vertical shear action</v>
      </c>
      <c r="D33" s="331" t="s">
        <v>423</v>
      </c>
      <c r="E33" s="331" t="s">
        <v>651</v>
      </c>
      <c r="F33" s="333" t="s">
        <v>1141</v>
      </c>
      <c r="G33" s="331" t="s">
        <v>652</v>
      </c>
      <c r="H33" s="331" t="s">
        <v>653</v>
      </c>
      <c r="I33" s="331" t="s">
        <v>654</v>
      </c>
      <c r="R33" s="331"/>
      <c r="S33">
        <f t="shared" si="1"/>
        <v>1111</v>
      </c>
    </row>
    <row r="34" spans="1:19" ht="30" customHeight="1" x14ac:dyDescent="0.2">
      <c r="A34" s="2">
        <v>34</v>
      </c>
      <c r="B34" s="331" t="str">
        <f t="shared" si="0"/>
        <v>Shear action for lifting</v>
      </c>
      <c r="D34" s="331" t="s">
        <v>422</v>
      </c>
      <c r="E34" s="331" t="s">
        <v>655</v>
      </c>
      <c r="F34" s="333" t="s">
        <v>1142</v>
      </c>
      <c r="G34" s="331" t="s">
        <v>656</v>
      </c>
      <c r="H34" s="331" t="s">
        <v>1201</v>
      </c>
      <c r="I34" s="331" t="s">
        <v>657</v>
      </c>
      <c r="R34" s="331"/>
      <c r="S34">
        <f t="shared" si="1"/>
        <v>1111</v>
      </c>
    </row>
    <row r="35" spans="1:19" ht="30" customHeight="1" x14ac:dyDescent="0.2">
      <c r="A35" s="2">
        <v>35</v>
      </c>
      <c r="B35" s="331" t="str">
        <f t="shared" si="0"/>
        <v>Axial action</v>
      </c>
      <c r="D35" s="331" t="s">
        <v>264</v>
      </c>
      <c r="E35" s="331" t="s">
        <v>658</v>
      </c>
      <c r="F35" s="333" t="s">
        <v>1143</v>
      </c>
      <c r="G35" s="331" t="s">
        <v>659</v>
      </c>
      <c r="H35" s="331" t="s">
        <v>660</v>
      </c>
      <c r="I35" s="331" t="s">
        <v>661</v>
      </c>
      <c r="R35" s="331"/>
      <c r="S35">
        <f t="shared" si="1"/>
        <v>1111</v>
      </c>
    </row>
    <row r="36" spans="1:19" ht="30" customHeight="1" x14ac:dyDescent="0.2">
      <c r="A36" s="2">
        <v>36</v>
      </c>
      <c r="B36" s="331" t="str">
        <f t="shared" si="0"/>
        <v>Lateral action</v>
      </c>
      <c r="D36" s="331" t="s">
        <v>265</v>
      </c>
      <c r="E36" s="331" t="s">
        <v>662</v>
      </c>
      <c r="F36" s="333" t="s">
        <v>1144</v>
      </c>
      <c r="G36" s="331" t="s">
        <v>663</v>
      </c>
      <c r="H36" s="331" t="s">
        <v>664</v>
      </c>
      <c r="I36" s="331" t="s">
        <v>665</v>
      </c>
      <c r="R36" s="331"/>
      <c r="S36">
        <f t="shared" si="1"/>
        <v>1111</v>
      </c>
    </row>
    <row r="37" spans="1:19" ht="30" customHeight="1" x14ac:dyDescent="0.2">
      <c r="A37" s="2">
        <v>37</v>
      </c>
      <c r="B37" s="331" t="str">
        <f t="shared" si="0"/>
        <v>4. Timber element</v>
      </c>
      <c r="D37" s="331" t="s">
        <v>1289</v>
      </c>
      <c r="E37" s="331" t="s">
        <v>1290</v>
      </c>
      <c r="F37" s="333" t="s">
        <v>1291</v>
      </c>
      <c r="G37" s="331" t="s">
        <v>1292</v>
      </c>
      <c r="H37" s="331" t="s">
        <v>1293</v>
      </c>
      <c r="I37" s="331" t="s">
        <v>1294</v>
      </c>
      <c r="R37" s="331"/>
      <c r="S37">
        <f t="shared" si="1"/>
        <v>1111</v>
      </c>
    </row>
    <row r="38" spans="1:19" ht="30" customHeight="1" x14ac:dyDescent="0.2">
      <c r="A38" s="2">
        <v>38</v>
      </c>
      <c r="B38" s="331" t="str">
        <f t="shared" si="0"/>
        <v>4.1 Main element</v>
      </c>
      <c r="D38" s="331" t="s">
        <v>1295</v>
      </c>
      <c r="E38" s="331" t="s">
        <v>1296</v>
      </c>
      <c r="F38" s="333" t="s">
        <v>1297</v>
      </c>
      <c r="G38" s="331" t="s">
        <v>1298</v>
      </c>
      <c r="H38" s="331" t="s">
        <v>1299</v>
      </c>
      <c r="I38" s="331" t="s">
        <v>1299</v>
      </c>
      <c r="R38" s="331"/>
      <c r="S38">
        <f t="shared" si="1"/>
        <v>1111</v>
      </c>
    </row>
    <row r="39" spans="1:19" ht="30" customHeight="1" x14ac:dyDescent="0.2">
      <c r="A39" s="2">
        <v>39</v>
      </c>
      <c r="B39" s="331" t="str">
        <f t="shared" si="0"/>
        <v>Beam base</v>
      </c>
      <c r="D39" s="331" t="s">
        <v>135</v>
      </c>
      <c r="E39" s="331" t="s">
        <v>666</v>
      </c>
      <c r="F39" s="333" t="s">
        <v>1145</v>
      </c>
      <c r="G39" s="331" t="s">
        <v>667</v>
      </c>
      <c r="H39" s="331" t="s">
        <v>668</v>
      </c>
      <c r="I39" s="331" t="s">
        <v>669</v>
      </c>
      <c r="R39" s="331"/>
      <c r="S39">
        <f t="shared" si="1"/>
        <v>1111</v>
      </c>
    </row>
    <row r="40" spans="1:19" ht="30" customHeight="1" x14ac:dyDescent="0.2">
      <c r="A40" s="2">
        <v>40</v>
      </c>
      <c r="B40" s="331" t="str">
        <f t="shared" si="0"/>
        <v>Column base</v>
      </c>
      <c r="D40" s="331" t="s">
        <v>670</v>
      </c>
      <c r="E40" s="331" t="s">
        <v>671</v>
      </c>
      <c r="F40" s="333" t="s">
        <v>1146</v>
      </c>
      <c r="G40" s="331" t="s">
        <v>672</v>
      </c>
      <c r="H40" s="331" t="s">
        <v>673</v>
      </c>
      <c r="I40" s="331" t="s">
        <v>674</v>
      </c>
      <c r="R40" s="331"/>
      <c r="S40">
        <f t="shared" si="1"/>
        <v>1111</v>
      </c>
    </row>
    <row r="41" spans="1:19" ht="30" customHeight="1" x14ac:dyDescent="0.2">
      <c r="A41" s="2">
        <v>41</v>
      </c>
      <c r="B41" s="331" t="str">
        <f t="shared" si="0"/>
        <v>Beam height</v>
      </c>
      <c r="D41" s="331" t="s">
        <v>136</v>
      </c>
      <c r="E41" s="331" t="s">
        <v>675</v>
      </c>
      <c r="F41" s="333" t="s">
        <v>676</v>
      </c>
      <c r="G41" s="331" t="s">
        <v>677</v>
      </c>
      <c r="H41" s="331" t="s">
        <v>678</v>
      </c>
      <c r="I41" s="331" t="s">
        <v>679</v>
      </c>
      <c r="R41" s="331"/>
      <c r="S41">
        <f t="shared" si="1"/>
        <v>1111</v>
      </c>
    </row>
    <row r="42" spans="1:19" ht="30" customHeight="1" x14ac:dyDescent="0.2">
      <c r="A42" s="2">
        <v>42</v>
      </c>
      <c r="B42" s="331" t="str">
        <f t="shared" si="0"/>
        <v>Column Depth</v>
      </c>
      <c r="D42" s="331" t="s">
        <v>680</v>
      </c>
      <c r="E42" s="331" t="s">
        <v>681</v>
      </c>
      <c r="F42" s="333" t="s">
        <v>1147</v>
      </c>
      <c r="G42" s="331" t="s">
        <v>682</v>
      </c>
      <c r="H42" s="331" t="s">
        <v>683</v>
      </c>
      <c r="I42" s="331" t="s">
        <v>684</v>
      </c>
      <c r="R42" s="331"/>
      <c r="S42">
        <f t="shared" si="1"/>
        <v>1111</v>
      </c>
    </row>
    <row r="43" spans="1:19" ht="30" customHeight="1" x14ac:dyDescent="0.2">
      <c r="A43" s="2">
        <v>43</v>
      </c>
      <c r="B43" s="331" t="str">
        <f t="shared" si="0"/>
        <v>Type of timber</v>
      </c>
      <c r="D43" s="331" t="s">
        <v>133</v>
      </c>
      <c r="E43" s="331" t="s">
        <v>1252</v>
      </c>
      <c r="F43" s="333" t="s">
        <v>686</v>
      </c>
      <c r="G43" s="331" t="s">
        <v>687</v>
      </c>
      <c r="H43" s="331" t="s">
        <v>688</v>
      </c>
      <c r="I43" s="331" t="s">
        <v>689</v>
      </c>
      <c r="R43" s="331"/>
      <c r="S43">
        <f t="shared" si="1"/>
        <v>1111</v>
      </c>
    </row>
    <row r="44" spans="1:19" ht="30" customHeight="1" x14ac:dyDescent="0.2">
      <c r="A44" s="2">
        <v>44</v>
      </c>
      <c r="B44" s="331" t="str">
        <f t="shared" si="0"/>
        <v>Main element orientation</v>
      </c>
      <c r="D44" s="331" t="s">
        <v>245</v>
      </c>
      <c r="E44" s="331" t="s">
        <v>690</v>
      </c>
      <c r="F44" s="333" t="s">
        <v>691</v>
      </c>
      <c r="G44" s="331" t="s">
        <v>692</v>
      </c>
      <c r="H44" s="331" t="s">
        <v>693</v>
      </c>
      <c r="I44" s="331" t="s">
        <v>694</v>
      </c>
      <c r="R44" s="331"/>
      <c r="S44">
        <f t="shared" si="1"/>
        <v>1111</v>
      </c>
    </row>
    <row r="45" spans="1:19" ht="30" customHeight="1" x14ac:dyDescent="0.2">
      <c r="A45" s="2">
        <v>45</v>
      </c>
      <c r="B45" s="331" t="str">
        <f t="shared" si="0"/>
        <v>Beam or column:</v>
      </c>
      <c r="D45" s="331" t="s">
        <v>502</v>
      </c>
      <c r="E45" s="331" t="s">
        <v>695</v>
      </c>
      <c r="F45" s="333" t="s">
        <v>1148</v>
      </c>
      <c r="G45" s="331" t="s">
        <v>696</v>
      </c>
      <c r="H45" s="331" t="s">
        <v>697</v>
      </c>
      <c r="I45" s="331" t="s">
        <v>698</v>
      </c>
      <c r="R45" s="331"/>
      <c r="S45">
        <f t="shared" si="1"/>
        <v>1111</v>
      </c>
    </row>
    <row r="46" spans="1:19" ht="30" customHeight="1" x14ac:dyDescent="0.2">
      <c r="A46" s="2">
        <v>46</v>
      </c>
      <c r="B46" s="331" t="str">
        <f t="shared" si="0"/>
        <v>Timber strength class</v>
      </c>
      <c r="D46" s="331" t="s">
        <v>699</v>
      </c>
      <c r="E46" s="331" t="s">
        <v>1253</v>
      </c>
      <c r="F46" s="333" t="s">
        <v>700</v>
      </c>
      <c r="G46" s="331" t="s">
        <v>701</v>
      </c>
      <c r="H46" s="331" t="s">
        <v>702</v>
      </c>
      <c r="I46" s="331" t="s">
        <v>703</v>
      </c>
      <c r="R46" s="331"/>
      <c r="S46">
        <f t="shared" si="1"/>
        <v>1111</v>
      </c>
    </row>
    <row r="47" spans="1:19" ht="30" customHeight="1" x14ac:dyDescent="0.2">
      <c r="A47" s="2">
        <v>47</v>
      </c>
      <c r="B47" s="331" t="str">
        <f t="shared" si="0"/>
        <v>Characteristic density</v>
      </c>
      <c r="D47" s="331" t="s">
        <v>465</v>
      </c>
      <c r="E47" s="331" t="s">
        <v>704</v>
      </c>
      <c r="F47" s="333" t="s">
        <v>705</v>
      </c>
      <c r="G47" s="331" t="s">
        <v>706</v>
      </c>
      <c r="H47" s="331" t="s">
        <v>1202</v>
      </c>
      <c r="I47" s="331" t="s">
        <v>707</v>
      </c>
      <c r="R47" s="331"/>
      <c r="S47">
        <f t="shared" si="1"/>
        <v>1111</v>
      </c>
    </row>
    <row r="48" spans="1:19" ht="36.75" customHeight="1" x14ac:dyDescent="0.2">
      <c r="A48" s="2">
        <v>48</v>
      </c>
      <c r="B48" s="331" t="str">
        <f t="shared" si="0"/>
        <v>Characteristic compressive strength parallel to the grain</v>
      </c>
      <c r="D48" s="331" t="s">
        <v>466</v>
      </c>
      <c r="E48" s="331" t="s">
        <v>708</v>
      </c>
      <c r="F48" s="333" t="s">
        <v>1170</v>
      </c>
      <c r="G48" s="331" t="s">
        <v>709</v>
      </c>
      <c r="H48" s="331" t="s">
        <v>710</v>
      </c>
      <c r="I48" s="331" t="s">
        <v>711</v>
      </c>
      <c r="R48" s="331"/>
      <c r="S48">
        <f t="shared" si="1"/>
        <v>1111</v>
      </c>
    </row>
    <row r="49" spans="1:19" ht="34.5" customHeight="1" x14ac:dyDescent="0.2">
      <c r="A49" s="2">
        <v>49</v>
      </c>
      <c r="B49" s="331" t="str">
        <f t="shared" si="0"/>
        <v>Characteristic compressive strength perpendicular to the grain</v>
      </c>
      <c r="D49" s="331" t="s">
        <v>467</v>
      </c>
      <c r="E49" s="331" t="s">
        <v>712</v>
      </c>
      <c r="F49" s="333" t="s">
        <v>713</v>
      </c>
      <c r="G49" s="331" t="s">
        <v>714</v>
      </c>
      <c r="H49" s="331" t="s">
        <v>715</v>
      </c>
      <c r="I49" s="331" t="s">
        <v>716</v>
      </c>
      <c r="R49" s="331"/>
      <c r="S49">
        <f t="shared" si="1"/>
        <v>1111</v>
      </c>
    </row>
    <row r="50" spans="1:19" ht="42.75" customHeight="1" x14ac:dyDescent="0.2">
      <c r="A50" s="2">
        <v>50</v>
      </c>
      <c r="B50" s="331" t="str">
        <f t="shared" si="0"/>
        <v>Characteristic strength for rolling shear</v>
      </c>
      <c r="D50" s="331" t="s">
        <v>468</v>
      </c>
      <c r="E50" s="331" t="s">
        <v>1125</v>
      </c>
      <c r="F50" s="333" t="s">
        <v>1177</v>
      </c>
      <c r="G50" s="331" t="s">
        <v>1256</v>
      </c>
      <c r="H50" s="331" t="s">
        <v>1203</v>
      </c>
      <c r="I50" s="331" t="s">
        <v>1234</v>
      </c>
      <c r="R50" s="331"/>
      <c r="S50">
        <f t="shared" si="1"/>
        <v>1111</v>
      </c>
    </row>
    <row r="51" spans="1:19" ht="30" customHeight="1" x14ac:dyDescent="0.2">
      <c r="A51" s="2">
        <v>51</v>
      </c>
      <c r="B51" s="331" t="str">
        <f t="shared" si="0"/>
        <v>Characteristic shear resistance</v>
      </c>
      <c r="D51" s="331" t="s">
        <v>469</v>
      </c>
      <c r="E51" s="331" t="s">
        <v>717</v>
      </c>
      <c r="F51" s="333" t="s">
        <v>718</v>
      </c>
      <c r="G51" s="331" t="s">
        <v>719</v>
      </c>
      <c r="H51" s="331" t="s">
        <v>720</v>
      </c>
      <c r="I51" s="331" t="s">
        <v>721</v>
      </c>
      <c r="R51" s="331"/>
      <c r="S51">
        <f t="shared" si="1"/>
        <v>1111</v>
      </c>
    </row>
    <row r="52" spans="1:19" ht="30" customHeight="1" x14ac:dyDescent="0.2">
      <c r="A52" s="2">
        <v>52</v>
      </c>
      <c r="B52" s="331" t="str">
        <f t="shared" si="0"/>
        <v>For screws on column, pre-drilling is mandatory.</v>
      </c>
      <c r="D52" s="331" t="s">
        <v>1255</v>
      </c>
      <c r="E52" s="331" t="s">
        <v>1254</v>
      </c>
      <c r="F52" s="333" t="s">
        <v>722</v>
      </c>
      <c r="G52" s="331" t="s">
        <v>723</v>
      </c>
      <c r="H52" s="331" t="s">
        <v>724</v>
      </c>
      <c r="I52" s="331" t="s">
        <v>725</v>
      </c>
      <c r="R52" s="331"/>
      <c r="S52">
        <f t="shared" si="1"/>
        <v>1111</v>
      </c>
    </row>
    <row r="53" spans="1:19" ht="66.75" customHeight="1" x14ac:dyDescent="0.2">
      <c r="A53" s="2">
        <v>53</v>
      </c>
      <c r="B53" s="331" t="str">
        <f t="shared" si="0"/>
        <v>The pre-drill is required for fastening screws on timber element with with characteristic density ρk&gt; 420 kg/m3.</v>
      </c>
      <c r="D53" s="331" t="s">
        <v>726</v>
      </c>
      <c r="E53" s="331" t="s">
        <v>727</v>
      </c>
      <c r="F53" s="333" t="s">
        <v>1178</v>
      </c>
      <c r="G53" s="331" t="s">
        <v>728</v>
      </c>
      <c r="H53" s="331" t="s">
        <v>729</v>
      </c>
      <c r="I53" s="331" t="s">
        <v>730</v>
      </c>
      <c r="R53" s="331"/>
      <c r="S53">
        <f t="shared" si="1"/>
        <v>1111</v>
      </c>
    </row>
    <row r="54" spans="1:19" ht="30" customHeight="1" x14ac:dyDescent="0.2">
      <c r="A54" s="2">
        <v>54</v>
      </c>
      <c r="B54" s="331" t="str">
        <f t="shared" si="0"/>
        <v>4.2 Secondary element</v>
      </c>
      <c r="D54" s="331" t="s">
        <v>1300</v>
      </c>
      <c r="E54" s="331" t="s">
        <v>1301</v>
      </c>
      <c r="F54" s="333" t="s">
        <v>1302</v>
      </c>
      <c r="G54" s="331" t="s">
        <v>1303</v>
      </c>
      <c r="H54" s="331" t="s">
        <v>1304</v>
      </c>
      <c r="I54" s="331" t="s">
        <v>1305</v>
      </c>
      <c r="R54" s="331"/>
      <c r="S54">
        <f t="shared" si="1"/>
        <v>1111</v>
      </c>
    </row>
    <row r="55" spans="1:19" ht="30" customHeight="1" x14ac:dyDescent="0.2">
      <c r="A55" s="2">
        <v>55</v>
      </c>
      <c r="B55" s="331" t="str">
        <f t="shared" si="0"/>
        <v>Beam base</v>
      </c>
      <c r="D55" s="331" t="s">
        <v>135</v>
      </c>
      <c r="E55" s="331" t="s">
        <v>666</v>
      </c>
      <c r="F55" s="333" t="s">
        <v>1145</v>
      </c>
      <c r="G55" s="331" t="s">
        <v>667</v>
      </c>
      <c r="H55" s="331" t="s">
        <v>668</v>
      </c>
      <c r="I55" s="331" t="s">
        <v>669</v>
      </c>
      <c r="R55" s="331"/>
      <c r="S55">
        <f t="shared" si="1"/>
        <v>1111</v>
      </c>
    </row>
    <row r="56" spans="1:19" ht="30" customHeight="1" x14ac:dyDescent="0.2">
      <c r="A56" s="2">
        <v>56</v>
      </c>
      <c r="B56" s="331" t="str">
        <f t="shared" si="0"/>
        <v>Beam height</v>
      </c>
      <c r="D56" s="331" t="s">
        <v>136</v>
      </c>
      <c r="E56" s="331" t="s">
        <v>675</v>
      </c>
      <c r="F56" s="333" t="s">
        <v>676</v>
      </c>
      <c r="G56" s="331" t="s">
        <v>677</v>
      </c>
      <c r="H56" s="331" t="s">
        <v>678</v>
      </c>
      <c r="I56" s="331" t="s">
        <v>679</v>
      </c>
      <c r="R56" s="331"/>
      <c r="S56">
        <f t="shared" si="1"/>
        <v>1111</v>
      </c>
    </row>
    <row r="57" spans="1:19" ht="30" customHeight="1" x14ac:dyDescent="0.2">
      <c r="A57" s="2">
        <v>57</v>
      </c>
      <c r="B57" s="331" t="str">
        <f t="shared" si="0"/>
        <v>Type of wood</v>
      </c>
      <c r="D57" s="331" t="s">
        <v>133</v>
      </c>
      <c r="E57" s="331" t="s">
        <v>685</v>
      </c>
      <c r="F57" s="333" t="s">
        <v>686</v>
      </c>
      <c r="G57" s="331" t="s">
        <v>687</v>
      </c>
      <c r="H57" s="331" t="s">
        <v>688</v>
      </c>
      <c r="I57" s="331" t="s">
        <v>689</v>
      </c>
      <c r="R57" s="331"/>
      <c r="S57">
        <f t="shared" si="1"/>
        <v>1111</v>
      </c>
    </row>
    <row r="58" spans="1:19" ht="30" customHeight="1" x14ac:dyDescent="0.2">
      <c r="A58" s="2">
        <v>58</v>
      </c>
      <c r="B58" s="331" t="str">
        <f t="shared" si="0"/>
        <v>Angle in vertical plane</v>
      </c>
      <c r="D58" s="331" t="s">
        <v>279</v>
      </c>
      <c r="E58" s="331" t="s">
        <v>731</v>
      </c>
      <c r="F58" s="333" t="s">
        <v>732</v>
      </c>
      <c r="G58" s="331" t="s">
        <v>733</v>
      </c>
      <c r="H58" s="331" t="s">
        <v>734</v>
      </c>
      <c r="I58" s="331" t="s">
        <v>735</v>
      </c>
      <c r="R58" s="331"/>
      <c r="S58">
        <f t="shared" si="1"/>
        <v>1111</v>
      </c>
    </row>
    <row r="59" spans="1:19" ht="57.75" customHeight="1" x14ac:dyDescent="0.2">
      <c r="A59" s="2">
        <v>59</v>
      </c>
      <c r="B59" s="331" t="str">
        <f t="shared" si="0"/>
        <v>For high angles check that screws do not protrude from the sections geometrically.</v>
      </c>
      <c r="D59" s="331" t="s">
        <v>480</v>
      </c>
      <c r="E59" s="331" t="s">
        <v>736</v>
      </c>
      <c r="F59" s="333" t="s">
        <v>1179</v>
      </c>
      <c r="G59" s="331" t="s">
        <v>737</v>
      </c>
      <c r="H59" s="331" t="s">
        <v>1204</v>
      </c>
      <c r="I59" s="331" t="s">
        <v>1235</v>
      </c>
      <c r="R59" s="331"/>
      <c r="S59">
        <f t="shared" si="1"/>
        <v>1111</v>
      </c>
    </row>
    <row r="60" spans="1:19" ht="30" customHeight="1" x14ac:dyDescent="0.2">
      <c r="A60" s="2">
        <v>60</v>
      </c>
      <c r="B60" s="331" t="str">
        <f t="shared" si="0"/>
        <v>Timber class</v>
      </c>
      <c r="D60" s="331" t="s">
        <v>699</v>
      </c>
      <c r="E60" s="331" t="s">
        <v>1124</v>
      </c>
      <c r="F60" s="333" t="s">
        <v>700</v>
      </c>
      <c r="G60" s="331" t="s">
        <v>701</v>
      </c>
      <c r="H60" s="331" t="s">
        <v>1220</v>
      </c>
      <c r="I60" s="331" t="s">
        <v>703</v>
      </c>
      <c r="R60" s="331"/>
      <c r="S60">
        <f t="shared" si="1"/>
        <v>1111</v>
      </c>
    </row>
    <row r="61" spans="1:19" ht="30" customHeight="1" x14ac:dyDescent="0.2">
      <c r="A61" s="2">
        <v>61</v>
      </c>
      <c r="B61" s="331" t="str">
        <f t="shared" si="0"/>
        <v>Characteristic density</v>
      </c>
      <c r="D61" s="331" t="s">
        <v>465</v>
      </c>
      <c r="E61" s="331" t="s">
        <v>704</v>
      </c>
      <c r="F61" s="333" t="s">
        <v>705</v>
      </c>
      <c r="G61" s="331" t="s">
        <v>706</v>
      </c>
      <c r="H61" s="331" t="s">
        <v>1202</v>
      </c>
      <c r="I61" s="331" t="s">
        <v>707</v>
      </c>
      <c r="R61" s="331"/>
      <c r="S61">
        <f t="shared" si="1"/>
        <v>1111</v>
      </c>
    </row>
    <row r="62" spans="1:19" ht="30" customHeight="1" x14ac:dyDescent="0.2">
      <c r="A62" s="2">
        <v>62</v>
      </c>
      <c r="B62" s="331" t="str">
        <f t="shared" si="0"/>
        <v>Characteristic compressive strength parallel to the grain</v>
      </c>
      <c r="D62" s="331" t="s">
        <v>466</v>
      </c>
      <c r="E62" s="331" t="s">
        <v>708</v>
      </c>
      <c r="F62" s="333" t="s">
        <v>1170</v>
      </c>
      <c r="G62" s="331" t="s">
        <v>709</v>
      </c>
      <c r="H62" s="331" t="s">
        <v>710</v>
      </c>
      <c r="I62" s="331" t="s">
        <v>711</v>
      </c>
      <c r="R62" s="331"/>
      <c r="S62">
        <f t="shared" si="1"/>
        <v>1111</v>
      </c>
    </row>
    <row r="63" spans="1:19" ht="30" customHeight="1" x14ac:dyDescent="0.2">
      <c r="A63" s="2">
        <v>63</v>
      </c>
      <c r="B63" s="331" t="str">
        <f t="shared" si="0"/>
        <v>Characteristic compressive strength perpendicular to fibration</v>
      </c>
      <c r="D63" s="331" t="s">
        <v>467</v>
      </c>
      <c r="E63" s="331" t="s">
        <v>738</v>
      </c>
      <c r="F63" s="333" t="s">
        <v>713</v>
      </c>
      <c r="G63" s="331" t="s">
        <v>714</v>
      </c>
      <c r="H63" s="331" t="s">
        <v>715</v>
      </c>
      <c r="I63" s="331" t="s">
        <v>716</v>
      </c>
      <c r="R63" s="331"/>
      <c r="S63">
        <f t="shared" si="1"/>
        <v>1111</v>
      </c>
    </row>
    <row r="64" spans="1:19" ht="48" customHeight="1" x14ac:dyDescent="0.2">
      <c r="A64" s="2">
        <v>64</v>
      </c>
      <c r="B64" s="331" t="str">
        <f t="shared" si="0"/>
        <v>Characteristic strength for rolling shear</v>
      </c>
      <c r="D64" s="331" t="s">
        <v>468</v>
      </c>
      <c r="E64" s="331" t="s">
        <v>1125</v>
      </c>
      <c r="F64" s="333" t="s">
        <v>1177</v>
      </c>
      <c r="G64" s="331" t="s">
        <v>1256</v>
      </c>
      <c r="H64" s="331" t="s">
        <v>1203</v>
      </c>
      <c r="I64" s="331" t="s">
        <v>1132</v>
      </c>
      <c r="R64" s="331"/>
      <c r="S64">
        <f t="shared" si="1"/>
        <v>1111</v>
      </c>
    </row>
    <row r="65" spans="1:19" ht="30" customHeight="1" x14ac:dyDescent="0.2">
      <c r="A65" s="2">
        <v>65</v>
      </c>
      <c r="B65" s="331" t="str">
        <f t="shared" si="0"/>
        <v>Characteristic shear resistance</v>
      </c>
      <c r="D65" s="331" t="s">
        <v>469</v>
      </c>
      <c r="E65" s="331" t="s">
        <v>717</v>
      </c>
      <c r="F65" s="333" t="s">
        <v>718</v>
      </c>
      <c r="G65" s="331" t="s">
        <v>719</v>
      </c>
      <c r="H65" s="331" t="s">
        <v>720</v>
      </c>
      <c r="I65" s="331" t="s">
        <v>721</v>
      </c>
      <c r="R65" s="331"/>
      <c r="S65">
        <f t="shared" si="1"/>
        <v>1111</v>
      </c>
    </row>
    <row r="66" spans="1:19" ht="58.5" customHeight="1" x14ac:dyDescent="0.2">
      <c r="A66" s="2">
        <v>66</v>
      </c>
      <c r="B66" s="331" t="str">
        <f t="shared" si="0"/>
        <v>The pre-drill is required for fastening screws on timber element with with characteristic density ρk&gt; 420 kg/m3.</v>
      </c>
      <c r="D66" s="331" t="s">
        <v>726</v>
      </c>
      <c r="E66" s="331" t="s">
        <v>727</v>
      </c>
      <c r="F66" s="333" t="s">
        <v>1178</v>
      </c>
      <c r="G66" s="331" t="s">
        <v>728</v>
      </c>
      <c r="H66" s="331" t="s">
        <v>729</v>
      </c>
      <c r="I66" s="331" t="s">
        <v>730</v>
      </c>
      <c r="R66" s="331"/>
      <c r="S66">
        <f t="shared" si="1"/>
        <v>1111</v>
      </c>
    </row>
    <row r="67" spans="1:19" ht="30" customHeight="1" x14ac:dyDescent="0.2">
      <c r="A67" s="2">
        <v>67</v>
      </c>
      <c r="B67" s="331" t="str">
        <f t="shared" ref="B67:B130" si="2">HLOOKUP($B$1,$D$1:$I$206,A67,FALSE)</f>
        <v>5. Choice of connector and screws</v>
      </c>
      <c r="D67" s="331" t="s">
        <v>1306</v>
      </c>
      <c r="E67" s="331" t="s">
        <v>1307</v>
      </c>
      <c r="F67" s="333" t="s">
        <v>1308</v>
      </c>
      <c r="G67" s="331" t="s">
        <v>1309</v>
      </c>
      <c r="H67" s="331" t="s">
        <v>1310</v>
      </c>
      <c r="I67" s="331" t="s">
        <v>1311</v>
      </c>
      <c r="R67" s="331"/>
      <c r="S67">
        <f t="shared" ref="S67:S130" si="3">IF(R67=G67,0,1111)</f>
        <v>1111</v>
      </c>
    </row>
    <row r="68" spans="1:19" ht="30" customHeight="1" x14ac:dyDescent="0.2">
      <c r="A68" s="2">
        <v>68</v>
      </c>
      <c r="B68" s="331" t="str">
        <f t="shared" si="2"/>
        <v>Connector selection</v>
      </c>
      <c r="D68" s="331" t="s">
        <v>134</v>
      </c>
      <c r="E68" s="331" t="s">
        <v>739</v>
      </c>
      <c r="F68" s="333" t="s">
        <v>740</v>
      </c>
      <c r="G68" s="331" t="s">
        <v>741</v>
      </c>
      <c r="H68" s="331" t="s">
        <v>742</v>
      </c>
      <c r="I68" s="331" t="s">
        <v>743</v>
      </c>
      <c r="R68" s="331"/>
      <c r="S68">
        <f t="shared" si="3"/>
        <v>1111</v>
      </c>
    </row>
    <row r="69" spans="1:19" ht="30" customHeight="1" x14ac:dyDescent="0.2">
      <c r="A69" s="2">
        <v>69</v>
      </c>
      <c r="B69" s="331" t="str">
        <f t="shared" si="2"/>
        <v>Version with C4 EVO coating</v>
      </c>
      <c r="D69" s="331" t="s">
        <v>280</v>
      </c>
      <c r="E69" s="331" t="s">
        <v>744</v>
      </c>
      <c r="F69" s="333" t="s">
        <v>745</v>
      </c>
      <c r="G69" s="331" t="s">
        <v>746</v>
      </c>
      <c r="H69" s="331" t="s">
        <v>747</v>
      </c>
      <c r="I69" s="331" t="s">
        <v>748</v>
      </c>
      <c r="R69" s="331"/>
      <c r="S69">
        <f t="shared" si="3"/>
        <v>1111</v>
      </c>
    </row>
    <row r="70" spans="1:19" ht="30" customHeight="1" x14ac:dyDescent="0.2">
      <c r="A70" s="2">
        <v>70</v>
      </c>
      <c r="B70" s="331" t="str">
        <f t="shared" si="2"/>
        <v>Connectors coupling: number of connectors</v>
      </c>
      <c r="D70" s="331" t="s">
        <v>340</v>
      </c>
      <c r="E70" s="331" t="s">
        <v>749</v>
      </c>
      <c r="F70" s="333" t="s">
        <v>750</v>
      </c>
      <c r="G70" s="331" t="s">
        <v>751</v>
      </c>
      <c r="H70" s="331" t="s">
        <v>752</v>
      </c>
      <c r="I70" s="331" t="s">
        <v>753</v>
      </c>
      <c r="R70" s="331"/>
      <c r="S70">
        <f t="shared" si="3"/>
        <v>1111</v>
      </c>
    </row>
    <row r="71" spans="1:19" ht="30" customHeight="1" x14ac:dyDescent="0.2">
      <c r="A71" s="2">
        <v>71</v>
      </c>
      <c r="B71" s="331" t="str">
        <f t="shared" si="2"/>
        <v>Coupling connectors must be equal in height!</v>
      </c>
      <c r="D71" s="331" t="s">
        <v>490</v>
      </c>
      <c r="E71" s="331" t="s">
        <v>754</v>
      </c>
      <c r="F71" s="333" t="s">
        <v>755</v>
      </c>
      <c r="G71" s="331" t="s">
        <v>756</v>
      </c>
      <c r="H71" s="331" t="s">
        <v>757</v>
      </c>
      <c r="I71" s="331" t="s">
        <v>1236</v>
      </c>
      <c r="R71" s="331"/>
      <c r="S71">
        <f t="shared" si="3"/>
        <v>1111</v>
      </c>
    </row>
    <row r="72" spans="1:19" ht="30" customHeight="1" x14ac:dyDescent="0.2">
      <c r="A72" s="2">
        <v>72</v>
      </c>
      <c r="B72" s="331" t="str">
        <f t="shared" si="2"/>
        <v>Connector code</v>
      </c>
      <c r="D72" s="331" t="s">
        <v>301</v>
      </c>
      <c r="E72" s="331" t="s">
        <v>1126</v>
      </c>
      <c r="F72" s="333" t="s">
        <v>758</v>
      </c>
      <c r="G72" s="331" t="s">
        <v>759</v>
      </c>
      <c r="H72" s="331" t="s">
        <v>760</v>
      </c>
      <c r="I72" s="331" t="s">
        <v>761</v>
      </c>
      <c r="R72" s="331"/>
      <c r="S72">
        <f t="shared" si="3"/>
        <v>1111</v>
      </c>
    </row>
    <row r="73" spans="1:19" ht="30" customHeight="1" x14ac:dyDescent="0.2">
      <c r="A73" s="2">
        <v>73</v>
      </c>
      <c r="B73" s="331" t="str">
        <f t="shared" si="2"/>
        <v>Number of ETA-19/0831 basic modules</v>
      </c>
      <c r="D73" s="331" t="s">
        <v>406</v>
      </c>
      <c r="E73" s="331" t="s">
        <v>762</v>
      </c>
      <c r="F73" s="333" t="s">
        <v>1171</v>
      </c>
      <c r="G73" s="331" t="s">
        <v>1257</v>
      </c>
      <c r="H73" s="331" t="s">
        <v>1205</v>
      </c>
      <c r="I73" s="331" t="s">
        <v>1237</v>
      </c>
      <c r="R73" s="331"/>
      <c r="S73">
        <f t="shared" si="3"/>
        <v>1111</v>
      </c>
    </row>
    <row r="74" spans="1:19" ht="30" customHeight="1" x14ac:dyDescent="0.2">
      <c r="A74" s="2">
        <v>74</v>
      </c>
      <c r="B74" s="331" t="str">
        <f t="shared" si="2"/>
        <v>Base</v>
      </c>
      <c r="D74" s="331" t="s">
        <v>302</v>
      </c>
      <c r="E74" s="331" t="s">
        <v>302</v>
      </c>
      <c r="F74" s="333" t="s">
        <v>1149</v>
      </c>
      <c r="G74" s="331" t="s">
        <v>302</v>
      </c>
      <c r="H74" s="331" t="s">
        <v>302</v>
      </c>
      <c r="I74" s="331" t="s">
        <v>302</v>
      </c>
      <c r="R74" s="331"/>
      <c r="S74">
        <f t="shared" si="3"/>
        <v>1111</v>
      </c>
    </row>
    <row r="75" spans="1:19" ht="30" customHeight="1" x14ac:dyDescent="0.2">
      <c r="A75" s="2">
        <v>75</v>
      </c>
      <c r="B75" s="331" t="str">
        <f t="shared" si="2"/>
        <v>Height</v>
      </c>
      <c r="D75" s="331" t="s">
        <v>48</v>
      </c>
      <c r="E75" s="331" t="s">
        <v>763</v>
      </c>
      <c r="F75" s="333" t="s">
        <v>764</v>
      </c>
      <c r="G75" s="331" t="s">
        <v>765</v>
      </c>
      <c r="H75" s="331" t="s">
        <v>766</v>
      </c>
      <c r="I75" s="331" t="s">
        <v>766</v>
      </c>
      <c r="R75" s="331"/>
      <c r="S75">
        <f t="shared" si="3"/>
        <v>1111</v>
      </c>
    </row>
    <row r="76" spans="1:19" ht="30" customHeight="1" x14ac:dyDescent="0.2">
      <c r="A76" s="2">
        <v>76</v>
      </c>
      <c r="B76" s="331" t="str">
        <f t="shared" si="2"/>
        <v>Thickness</v>
      </c>
      <c r="D76" s="331" t="s">
        <v>303</v>
      </c>
      <c r="E76" s="331" t="s">
        <v>767</v>
      </c>
      <c r="F76" s="333" t="s">
        <v>768</v>
      </c>
      <c r="G76" s="331" t="s">
        <v>769</v>
      </c>
      <c r="H76" s="331" t="s">
        <v>770</v>
      </c>
      <c r="I76" s="331" t="s">
        <v>771</v>
      </c>
      <c r="R76" s="331"/>
      <c r="S76">
        <f t="shared" si="3"/>
        <v>1111</v>
      </c>
    </row>
    <row r="77" spans="1:19" ht="30" customHeight="1" x14ac:dyDescent="0.2">
      <c r="A77" s="2">
        <v>77</v>
      </c>
      <c r="B77" s="331" t="str">
        <f t="shared" si="2"/>
        <v>Holes</v>
      </c>
      <c r="D77" s="331" t="s">
        <v>304</v>
      </c>
      <c r="E77" s="331" t="s">
        <v>772</v>
      </c>
      <c r="F77" s="333" t="s">
        <v>773</v>
      </c>
      <c r="G77" s="331" t="s">
        <v>774</v>
      </c>
      <c r="H77" s="331" t="s">
        <v>775</v>
      </c>
      <c r="I77" s="331" t="s">
        <v>776</v>
      </c>
      <c r="R77" s="331"/>
      <c r="S77">
        <f t="shared" si="3"/>
        <v>1111</v>
      </c>
    </row>
    <row r="78" spans="1:19" ht="50.25" customHeight="1" x14ac:dyDescent="0.2">
      <c r="A78" s="2">
        <v>78</v>
      </c>
      <c r="B78" s="331" t="str">
        <f t="shared" si="2"/>
        <v>Contact area between LOCK T connector and head or column</v>
      </c>
      <c r="D78" s="331" t="s">
        <v>396</v>
      </c>
      <c r="E78" s="331" t="s">
        <v>777</v>
      </c>
      <c r="F78" s="333" t="s">
        <v>1180</v>
      </c>
      <c r="G78" s="331" t="s">
        <v>778</v>
      </c>
      <c r="H78" s="331" t="s">
        <v>1206</v>
      </c>
      <c r="I78" s="331" t="s">
        <v>1238</v>
      </c>
      <c r="R78" s="331"/>
      <c r="S78">
        <f t="shared" si="3"/>
        <v>1111</v>
      </c>
    </row>
    <row r="79" spans="1:19" ht="30" customHeight="1" x14ac:dyDescent="0.2">
      <c r="A79" s="2">
        <v>79</v>
      </c>
      <c r="B79" s="331" t="str">
        <f t="shared" si="2"/>
        <v>LOCK T connector length</v>
      </c>
      <c r="D79" s="331" t="s">
        <v>399</v>
      </c>
      <c r="E79" s="331" t="s">
        <v>779</v>
      </c>
      <c r="F79" s="333" t="s">
        <v>780</v>
      </c>
      <c r="G79" s="331" t="s">
        <v>781</v>
      </c>
      <c r="H79" s="331" t="s">
        <v>782</v>
      </c>
      <c r="I79" s="331" t="s">
        <v>783</v>
      </c>
      <c r="R79" s="331"/>
      <c r="S79">
        <f t="shared" si="3"/>
        <v>1111</v>
      </c>
    </row>
    <row r="80" spans="1:19" ht="30" customHeight="1" x14ac:dyDescent="0.2">
      <c r="A80" s="2">
        <v>80</v>
      </c>
      <c r="B80" s="331" t="str">
        <f t="shared" si="2"/>
        <v>Form factor</v>
      </c>
      <c r="D80" s="331" t="s">
        <v>401</v>
      </c>
      <c r="E80" s="331" t="s">
        <v>784</v>
      </c>
      <c r="F80" s="333" t="s">
        <v>785</v>
      </c>
      <c r="G80" s="331" t="s">
        <v>786</v>
      </c>
      <c r="H80" s="331" t="s">
        <v>787</v>
      </c>
      <c r="I80" s="331" t="s">
        <v>788</v>
      </c>
      <c r="R80" s="331"/>
      <c r="S80">
        <f t="shared" si="3"/>
        <v>1111</v>
      </c>
    </row>
    <row r="81" spans="1:19" ht="30" customHeight="1" x14ac:dyDescent="0.2">
      <c r="A81" s="2">
        <v>81</v>
      </c>
      <c r="B81" s="331" t="str">
        <f t="shared" si="2"/>
        <v>(*) Code available on special request</v>
      </c>
      <c r="D81" s="331" t="s">
        <v>789</v>
      </c>
      <c r="E81" s="331" t="s">
        <v>790</v>
      </c>
      <c r="F81" s="333" t="s">
        <v>791</v>
      </c>
      <c r="G81" s="331" t="s">
        <v>792</v>
      </c>
      <c r="H81" s="331" t="s">
        <v>793</v>
      </c>
      <c r="I81" s="331" t="s">
        <v>794</v>
      </c>
      <c r="R81" s="331"/>
      <c r="S81">
        <f t="shared" si="3"/>
        <v>1111</v>
      </c>
    </row>
    <row r="82" spans="1:19" ht="30" customHeight="1" x14ac:dyDescent="0.2">
      <c r="A82" s="2">
        <v>82</v>
      </c>
      <c r="B82" s="331" t="str">
        <f t="shared" si="2"/>
        <v>(**) Code available on special request</v>
      </c>
      <c r="D82" s="331" t="s">
        <v>795</v>
      </c>
      <c r="E82" s="331" t="s">
        <v>796</v>
      </c>
      <c r="F82" s="333" t="s">
        <v>797</v>
      </c>
      <c r="G82" s="331" t="s">
        <v>798</v>
      </c>
      <c r="H82" s="331" t="s">
        <v>799</v>
      </c>
      <c r="I82" s="331" t="s">
        <v>800</v>
      </c>
      <c r="R82" s="331"/>
      <c r="S82">
        <f t="shared" si="3"/>
        <v>1111</v>
      </c>
    </row>
    <row r="83" spans="1:19" ht="30" customHeight="1" x14ac:dyDescent="0.2">
      <c r="A83" s="2">
        <v>83</v>
      </c>
      <c r="B83" s="331" t="str">
        <f t="shared" si="2"/>
        <v>Connectors coupling:</v>
      </c>
      <c r="D83" s="331" t="s">
        <v>501</v>
      </c>
      <c r="E83" s="331" t="s">
        <v>801</v>
      </c>
      <c r="F83" s="333" t="s">
        <v>802</v>
      </c>
      <c r="G83" s="331" t="s">
        <v>803</v>
      </c>
      <c r="H83" s="331" t="s">
        <v>804</v>
      </c>
      <c r="I83" s="331" t="s">
        <v>805</v>
      </c>
      <c r="R83" s="331"/>
      <c r="S83">
        <f t="shared" si="3"/>
        <v>1111</v>
      </c>
    </row>
    <row r="84" spans="1:19" ht="30" customHeight="1" x14ac:dyDescent="0.2">
      <c r="A84" s="2">
        <v>84</v>
      </c>
      <c r="B84" s="331" t="str">
        <f t="shared" si="2"/>
        <v>Fastening screws main element</v>
      </c>
      <c r="D84" s="331" t="s">
        <v>503</v>
      </c>
      <c r="E84" s="331" t="s">
        <v>806</v>
      </c>
      <c r="F84" s="333" t="s">
        <v>807</v>
      </c>
      <c r="G84" s="331" t="s">
        <v>808</v>
      </c>
      <c r="H84" s="331" t="s">
        <v>809</v>
      </c>
      <c r="I84" s="331" t="s">
        <v>810</v>
      </c>
      <c r="R84" s="331"/>
      <c r="S84">
        <f t="shared" si="3"/>
        <v>1111</v>
      </c>
    </row>
    <row r="85" spans="1:19" ht="30" customHeight="1" x14ac:dyDescent="0.2">
      <c r="A85" s="2">
        <v>85</v>
      </c>
      <c r="B85" s="331" t="str">
        <f t="shared" si="2"/>
        <v>Screws code main element</v>
      </c>
      <c r="D85" s="331" t="s">
        <v>500</v>
      </c>
      <c r="E85" s="331" t="s">
        <v>811</v>
      </c>
      <c r="F85" s="333" t="s">
        <v>812</v>
      </c>
      <c r="G85" s="331" t="s">
        <v>813</v>
      </c>
      <c r="H85" s="331" t="s">
        <v>814</v>
      </c>
      <c r="I85" s="331" t="s">
        <v>815</v>
      </c>
      <c r="R85" s="331"/>
      <c r="S85">
        <f t="shared" si="3"/>
        <v>1111</v>
      </c>
    </row>
    <row r="86" spans="1:19" ht="30" customHeight="1" x14ac:dyDescent="0.2">
      <c r="A86" s="2">
        <v>86</v>
      </c>
      <c r="B86" s="331" t="str">
        <f t="shared" si="2"/>
        <v>Nominal diameter</v>
      </c>
      <c r="D86" s="331" t="s">
        <v>283</v>
      </c>
      <c r="E86" s="331" t="s">
        <v>816</v>
      </c>
      <c r="F86" s="333" t="s">
        <v>817</v>
      </c>
      <c r="G86" s="331" t="s">
        <v>818</v>
      </c>
      <c r="H86" s="331" t="s">
        <v>819</v>
      </c>
      <c r="I86" s="331" t="s">
        <v>820</v>
      </c>
      <c r="R86" s="331"/>
      <c r="S86">
        <f t="shared" si="3"/>
        <v>1111</v>
      </c>
    </row>
    <row r="87" spans="1:19" ht="30" customHeight="1" x14ac:dyDescent="0.2">
      <c r="A87" s="2">
        <v>87</v>
      </c>
      <c r="B87" s="331" t="str">
        <f t="shared" si="2"/>
        <v>Thread diameter</v>
      </c>
      <c r="D87" s="331" t="s">
        <v>284</v>
      </c>
      <c r="E87" s="331" t="s">
        <v>821</v>
      </c>
      <c r="F87" s="333" t="s">
        <v>822</v>
      </c>
      <c r="G87" s="331" t="s">
        <v>823</v>
      </c>
      <c r="H87" s="331" t="s">
        <v>1208</v>
      </c>
      <c r="I87" s="331" t="s">
        <v>825</v>
      </c>
      <c r="R87" s="331"/>
      <c r="S87">
        <f t="shared" si="3"/>
        <v>1111</v>
      </c>
    </row>
    <row r="88" spans="1:19" ht="30" customHeight="1" x14ac:dyDescent="0.2">
      <c r="A88" s="2">
        <v>88</v>
      </c>
      <c r="B88" s="331" t="str">
        <f t="shared" si="2"/>
        <v>Head diameter</v>
      </c>
      <c r="D88" s="331" t="s">
        <v>285</v>
      </c>
      <c r="E88" s="331" t="s">
        <v>826</v>
      </c>
      <c r="F88" s="333" t="s">
        <v>827</v>
      </c>
      <c r="G88" s="331" t="s">
        <v>828</v>
      </c>
      <c r="H88" s="331" t="s">
        <v>829</v>
      </c>
      <c r="I88" s="331" t="s">
        <v>830</v>
      </c>
      <c r="R88" s="331"/>
      <c r="S88">
        <f t="shared" si="3"/>
        <v>1111</v>
      </c>
    </row>
    <row r="89" spans="1:19" ht="30" customHeight="1" x14ac:dyDescent="0.2">
      <c r="A89" s="2">
        <v>89</v>
      </c>
      <c r="B89" s="331" t="str">
        <f t="shared" si="2"/>
        <v>Length</v>
      </c>
      <c r="D89" s="331" t="s">
        <v>11</v>
      </c>
      <c r="E89" s="331" t="s">
        <v>577</v>
      </c>
      <c r="F89" s="333" t="s">
        <v>578</v>
      </c>
      <c r="G89" s="331" t="s">
        <v>579</v>
      </c>
      <c r="H89" s="331" t="s">
        <v>580</v>
      </c>
      <c r="I89" s="331" t="s">
        <v>581</v>
      </c>
      <c r="R89" s="331"/>
      <c r="S89">
        <f t="shared" si="3"/>
        <v>1111</v>
      </c>
    </row>
    <row r="90" spans="1:19" ht="30" customHeight="1" x14ac:dyDescent="0.2">
      <c r="A90" s="2">
        <v>90</v>
      </c>
      <c r="B90" s="331" t="str">
        <f t="shared" si="2"/>
        <v>Thread length</v>
      </c>
      <c r="D90" s="331" t="s">
        <v>286</v>
      </c>
      <c r="E90" s="331" t="s">
        <v>831</v>
      </c>
      <c r="F90" s="333" t="s">
        <v>832</v>
      </c>
      <c r="G90" s="331" t="s">
        <v>833</v>
      </c>
      <c r="H90" s="331" t="s">
        <v>834</v>
      </c>
      <c r="I90" s="331" t="s">
        <v>835</v>
      </c>
      <c r="R90" s="331"/>
      <c r="S90">
        <f t="shared" si="3"/>
        <v>1111</v>
      </c>
    </row>
    <row r="91" spans="1:19" ht="30" customHeight="1" x14ac:dyDescent="0.2">
      <c r="A91" s="2">
        <v>91</v>
      </c>
      <c r="B91" s="331" t="str">
        <f t="shared" si="2"/>
        <v>Characteristic withdrawal parameter</v>
      </c>
      <c r="D91" s="331" t="s">
        <v>287</v>
      </c>
      <c r="E91" s="331" t="s">
        <v>836</v>
      </c>
      <c r="F91" s="333" t="s">
        <v>837</v>
      </c>
      <c r="G91" s="331" t="s">
        <v>838</v>
      </c>
      <c r="H91" s="331" t="s">
        <v>839</v>
      </c>
      <c r="I91" s="331" t="s">
        <v>840</v>
      </c>
      <c r="R91" s="331"/>
      <c r="S91">
        <f t="shared" si="3"/>
        <v>1111</v>
      </c>
    </row>
    <row r="92" spans="1:19" ht="30" customHeight="1" x14ac:dyDescent="0.2">
      <c r="A92" s="2">
        <v>92</v>
      </c>
      <c r="B92" s="331" t="str">
        <f t="shared" si="2"/>
        <v>Associated density</v>
      </c>
      <c r="D92" s="331" t="s">
        <v>288</v>
      </c>
      <c r="E92" s="331" t="s">
        <v>841</v>
      </c>
      <c r="F92" s="333" t="s">
        <v>842</v>
      </c>
      <c r="G92" s="331" t="s">
        <v>843</v>
      </c>
      <c r="H92" s="331" t="s">
        <v>844</v>
      </c>
      <c r="I92" s="331" t="s">
        <v>845</v>
      </c>
      <c r="R92" s="331"/>
      <c r="S92">
        <f t="shared" si="3"/>
        <v>1111</v>
      </c>
    </row>
    <row r="93" spans="1:19" ht="30" customHeight="1" x14ac:dyDescent="0.2">
      <c r="A93" s="2">
        <v>93</v>
      </c>
      <c r="B93" s="331" t="str">
        <f t="shared" si="2"/>
        <v>Characteristic tensile strength</v>
      </c>
      <c r="D93" s="331" t="s">
        <v>289</v>
      </c>
      <c r="E93" s="331" t="s">
        <v>846</v>
      </c>
      <c r="F93" s="333" t="s">
        <v>847</v>
      </c>
      <c r="G93" s="331" t="s">
        <v>848</v>
      </c>
      <c r="H93" s="331" t="s">
        <v>849</v>
      </c>
      <c r="I93" s="331" t="s">
        <v>850</v>
      </c>
      <c r="R93" s="331"/>
      <c r="S93">
        <f t="shared" si="3"/>
        <v>1111</v>
      </c>
    </row>
    <row r="94" spans="1:19" ht="30" customHeight="1" x14ac:dyDescent="0.2">
      <c r="A94" s="2">
        <v>94</v>
      </c>
      <c r="B94" s="331" t="str">
        <f t="shared" si="2"/>
        <v>Characteristic yield moment</v>
      </c>
      <c r="D94" s="331" t="s">
        <v>322</v>
      </c>
      <c r="E94" s="331" t="s">
        <v>851</v>
      </c>
      <c r="F94" s="333" t="s">
        <v>852</v>
      </c>
      <c r="G94" s="331" t="s">
        <v>853</v>
      </c>
      <c r="H94" s="331" t="s">
        <v>854</v>
      </c>
      <c r="I94" s="331" t="s">
        <v>854</v>
      </c>
      <c r="R94" s="331"/>
      <c r="S94">
        <f t="shared" si="3"/>
        <v>1111</v>
      </c>
    </row>
    <row r="95" spans="1:19" ht="30" customHeight="1" x14ac:dyDescent="0.2">
      <c r="A95" s="2">
        <v>95</v>
      </c>
      <c r="B95" s="331" t="str">
        <f t="shared" si="2"/>
        <v>Fastening screws secondary beam</v>
      </c>
      <c r="D95" s="331" t="s">
        <v>276</v>
      </c>
      <c r="E95" s="331" t="s">
        <v>855</v>
      </c>
      <c r="F95" s="333" t="s">
        <v>856</v>
      </c>
      <c r="G95" s="331" t="s">
        <v>857</v>
      </c>
      <c r="H95" s="331" t="s">
        <v>858</v>
      </c>
      <c r="I95" s="331" t="s">
        <v>859</v>
      </c>
      <c r="R95" s="331"/>
      <c r="S95">
        <f t="shared" si="3"/>
        <v>1111</v>
      </c>
    </row>
    <row r="96" spans="1:19" ht="30" customHeight="1" x14ac:dyDescent="0.2">
      <c r="A96" s="2">
        <v>96</v>
      </c>
      <c r="B96" s="331" t="str">
        <f t="shared" si="2"/>
        <v>Flat configuration:</v>
      </c>
      <c r="D96" s="331" t="s">
        <v>860</v>
      </c>
      <c r="E96" s="331" t="s">
        <v>861</v>
      </c>
      <c r="F96" s="333" t="s">
        <v>862</v>
      </c>
      <c r="G96" s="331" t="s">
        <v>863</v>
      </c>
      <c r="H96" s="331" t="s">
        <v>864</v>
      </c>
      <c r="I96" s="331" t="s">
        <v>865</v>
      </c>
      <c r="R96" s="331"/>
      <c r="S96">
        <f t="shared" si="3"/>
        <v>1111</v>
      </c>
    </row>
    <row r="97" spans="1:19" ht="30" customHeight="1" x14ac:dyDescent="0.2">
      <c r="A97" s="2">
        <v>97</v>
      </c>
      <c r="B97" s="331" t="str">
        <f t="shared" si="2"/>
        <v>Screws code secondary beam</v>
      </c>
      <c r="D97" s="331" t="s">
        <v>394</v>
      </c>
      <c r="E97" s="331" t="s">
        <v>866</v>
      </c>
      <c r="F97" s="333" t="s">
        <v>867</v>
      </c>
      <c r="G97" s="331" t="s">
        <v>868</v>
      </c>
      <c r="H97" s="331" t="s">
        <v>869</v>
      </c>
      <c r="I97" s="331" t="s">
        <v>870</v>
      </c>
      <c r="R97" s="331"/>
      <c r="S97">
        <f t="shared" si="3"/>
        <v>1111</v>
      </c>
    </row>
    <row r="98" spans="1:19" ht="30" customHeight="1" x14ac:dyDescent="0.2">
      <c r="A98" s="2">
        <v>98</v>
      </c>
      <c r="B98" s="331" t="str">
        <f t="shared" si="2"/>
        <v>Nominal diameter</v>
      </c>
      <c r="D98" s="331" t="s">
        <v>283</v>
      </c>
      <c r="E98" s="331" t="s">
        <v>816</v>
      </c>
      <c r="F98" s="333" t="s">
        <v>817</v>
      </c>
      <c r="G98" s="331" t="s">
        <v>818</v>
      </c>
      <c r="H98" s="331" t="s">
        <v>819</v>
      </c>
      <c r="I98" s="331" t="s">
        <v>820</v>
      </c>
      <c r="R98" s="331"/>
      <c r="S98">
        <f t="shared" si="3"/>
        <v>1111</v>
      </c>
    </row>
    <row r="99" spans="1:19" ht="30" customHeight="1" x14ac:dyDescent="0.2">
      <c r="A99" s="2">
        <v>99</v>
      </c>
      <c r="B99" s="331" t="str">
        <f t="shared" si="2"/>
        <v>Thread diameter</v>
      </c>
      <c r="D99" s="331" t="s">
        <v>284</v>
      </c>
      <c r="E99" s="331" t="s">
        <v>821</v>
      </c>
      <c r="F99" s="333" t="s">
        <v>822</v>
      </c>
      <c r="G99" s="331" t="s">
        <v>823</v>
      </c>
      <c r="H99" s="331" t="s">
        <v>824</v>
      </c>
      <c r="I99" s="331" t="s">
        <v>825</v>
      </c>
      <c r="R99" s="331"/>
      <c r="S99">
        <f t="shared" si="3"/>
        <v>1111</v>
      </c>
    </row>
    <row r="100" spans="1:19" ht="30" customHeight="1" x14ac:dyDescent="0.2">
      <c r="A100" s="2">
        <v>100</v>
      </c>
      <c r="B100" s="331" t="str">
        <f t="shared" si="2"/>
        <v>Head diameter</v>
      </c>
      <c r="D100" s="331" t="s">
        <v>285</v>
      </c>
      <c r="E100" s="331" t="s">
        <v>826</v>
      </c>
      <c r="F100" s="333" t="s">
        <v>827</v>
      </c>
      <c r="G100" s="331" t="s">
        <v>828</v>
      </c>
      <c r="H100" s="331" t="s">
        <v>829</v>
      </c>
      <c r="I100" s="331" t="s">
        <v>830</v>
      </c>
      <c r="R100" s="331"/>
      <c r="S100">
        <f t="shared" si="3"/>
        <v>1111</v>
      </c>
    </row>
    <row r="101" spans="1:19" ht="30" customHeight="1" x14ac:dyDescent="0.2">
      <c r="A101" s="2">
        <v>101</v>
      </c>
      <c r="B101" s="331" t="str">
        <f t="shared" si="2"/>
        <v>Length</v>
      </c>
      <c r="D101" s="331" t="s">
        <v>11</v>
      </c>
      <c r="E101" s="331" t="s">
        <v>577</v>
      </c>
      <c r="F101" s="333" t="s">
        <v>578</v>
      </c>
      <c r="G101" s="331" t="s">
        <v>579</v>
      </c>
      <c r="H101" s="331" t="s">
        <v>580</v>
      </c>
      <c r="I101" s="331" t="s">
        <v>581</v>
      </c>
      <c r="R101" s="331"/>
      <c r="S101">
        <f t="shared" si="3"/>
        <v>1111</v>
      </c>
    </row>
    <row r="102" spans="1:19" ht="30" customHeight="1" x14ac:dyDescent="0.2">
      <c r="A102" s="2">
        <v>102</v>
      </c>
      <c r="B102" s="331" t="str">
        <f t="shared" si="2"/>
        <v>Thread length</v>
      </c>
      <c r="D102" s="331" t="s">
        <v>286</v>
      </c>
      <c r="E102" s="331" t="s">
        <v>831</v>
      </c>
      <c r="F102" s="333" t="s">
        <v>832</v>
      </c>
      <c r="G102" s="331" t="s">
        <v>833</v>
      </c>
      <c r="H102" s="331" t="s">
        <v>834</v>
      </c>
      <c r="I102" s="331" t="s">
        <v>835</v>
      </c>
      <c r="R102" s="331"/>
      <c r="S102">
        <f t="shared" si="3"/>
        <v>1111</v>
      </c>
    </row>
    <row r="103" spans="1:19" ht="30" customHeight="1" x14ac:dyDescent="0.2">
      <c r="A103" s="2">
        <v>103</v>
      </c>
      <c r="B103" s="331" t="str">
        <f t="shared" si="2"/>
        <v>Characteristic withdrawal parameter</v>
      </c>
      <c r="D103" s="331" t="s">
        <v>287</v>
      </c>
      <c r="E103" s="331" t="s">
        <v>836</v>
      </c>
      <c r="F103" s="333" t="s">
        <v>837</v>
      </c>
      <c r="G103" s="331" t="s">
        <v>838</v>
      </c>
      <c r="H103" s="331" t="s">
        <v>839</v>
      </c>
      <c r="I103" s="331" t="s">
        <v>840</v>
      </c>
      <c r="R103" s="331"/>
      <c r="S103">
        <f t="shared" si="3"/>
        <v>1111</v>
      </c>
    </row>
    <row r="104" spans="1:19" ht="30" customHeight="1" x14ac:dyDescent="0.2">
      <c r="A104" s="2">
        <v>104</v>
      </c>
      <c r="B104" s="331" t="str">
        <f t="shared" si="2"/>
        <v>Associated density</v>
      </c>
      <c r="D104" s="331" t="s">
        <v>288</v>
      </c>
      <c r="E104" s="331" t="s">
        <v>841</v>
      </c>
      <c r="F104" s="333" t="s">
        <v>842</v>
      </c>
      <c r="G104" s="331" t="s">
        <v>843</v>
      </c>
      <c r="H104" s="331" t="s">
        <v>844</v>
      </c>
      <c r="I104" s="331" t="s">
        <v>845</v>
      </c>
      <c r="R104" s="331"/>
      <c r="S104">
        <f t="shared" si="3"/>
        <v>1111</v>
      </c>
    </row>
    <row r="105" spans="1:19" ht="30" customHeight="1" x14ac:dyDescent="0.2">
      <c r="A105" s="2">
        <v>105</v>
      </c>
      <c r="B105" s="331" t="str">
        <f t="shared" si="2"/>
        <v>Characteristic tensile strength</v>
      </c>
      <c r="D105" s="331" t="s">
        <v>289</v>
      </c>
      <c r="E105" s="331" t="s">
        <v>846</v>
      </c>
      <c r="F105" s="333" t="s">
        <v>847</v>
      </c>
      <c r="G105" s="331" t="s">
        <v>848</v>
      </c>
      <c r="H105" s="331" t="s">
        <v>849</v>
      </c>
      <c r="I105" s="331" t="s">
        <v>850</v>
      </c>
      <c r="R105" s="331"/>
      <c r="S105">
        <f t="shared" si="3"/>
        <v>1111</v>
      </c>
    </row>
    <row r="106" spans="1:19" ht="30" customHeight="1" x14ac:dyDescent="0.2">
      <c r="A106" s="2">
        <v>106</v>
      </c>
      <c r="B106" s="331" t="str">
        <f t="shared" si="2"/>
        <v>Characteristic yield moment</v>
      </c>
      <c r="D106" s="331" t="s">
        <v>322</v>
      </c>
      <c r="E106" s="331" t="s">
        <v>851</v>
      </c>
      <c r="F106" s="333" t="s">
        <v>852</v>
      </c>
      <c r="G106" s="331" t="s">
        <v>853</v>
      </c>
      <c r="H106" s="331" t="s">
        <v>854</v>
      </c>
      <c r="I106" s="331" t="s">
        <v>854</v>
      </c>
      <c r="R106" s="331"/>
      <c r="S106">
        <f t="shared" si="3"/>
        <v>1111</v>
      </c>
    </row>
    <row r="107" spans="1:19" ht="30" customHeight="1" x14ac:dyDescent="0.2">
      <c r="A107" s="2">
        <v>107</v>
      </c>
      <c r="B107" s="331" t="str">
        <f t="shared" si="2"/>
        <v>Configuration for lateral resistance</v>
      </c>
      <c r="D107" s="331" t="s">
        <v>355</v>
      </c>
      <c r="E107" s="331" t="s">
        <v>871</v>
      </c>
      <c r="F107" s="333" t="s">
        <v>872</v>
      </c>
      <c r="G107" s="331" t="s">
        <v>873</v>
      </c>
      <c r="H107" s="331" t="s">
        <v>874</v>
      </c>
      <c r="I107" s="331" t="s">
        <v>875</v>
      </c>
      <c r="R107" s="331"/>
      <c r="S107">
        <f t="shared" si="3"/>
        <v>1111</v>
      </c>
    </row>
    <row r="108" spans="1:19" ht="30" customHeight="1" x14ac:dyDescent="0.2">
      <c r="A108" s="2">
        <v>108</v>
      </c>
      <c r="B108" s="331" t="str">
        <f t="shared" si="2"/>
        <v>Type of LOCK STOP connector</v>
      </c>
      <c r="D108" s="331" t="s">
        <v>246</v>
      </c>
      <c r="E108" s="331" t="s">
        <v>876</v>
      </c>
      <c r="F108" s="333" t="s">
        <v>877</v>
      </c>
      <c r="G108" s="331" t="s">
        <v>878</v>
      </c>
      <c r="H108" s="331" t="s">
        <v>879</v>
      </c>
      <c r="I108" s="331" t="s">
        <v>879</v>
      </c>
      <c r="R108" s="331"/>
      <c r="S108">
        <f t="shared" si="3"/>
        <v>1111</v>
      </c>
    </row>
    <row r="109" spans="1:19" ht="40.5" customHeight="1" x14ac:dyDescent="0.2">
      <c r="A109" s="2">
        <v>109</v>
      </c>
      <c r="B109" s="331" t="str">
        <f t="shared" si="2"/>
        <v>Inclined screws for lifting and/or lateral resistance</v>
      </c>
      <c r="D109" s="331" t="s">
        <v>395</v>
      </c>
      <c r="E109" s="331" t="s">
        <v>880</v>
      </c>
      <c r="F109" s="333" t="s">
        <v>1150</v>
      </c>
      <c r="G109" s="331" t="s">
        <v>881</v>
      </c>
      <c r="H109" s="331" t="s">
        <v>1207</v>
      </c>
      <c r="I109" s="331" t="s">
        <v>883</v>
      </c>
      <c r="R109" s="331"/>
      <c r="S109">
        <f t="shared" si="3"/>
        <v>1111</v>
      </c>
    </row>
    <row r="110" spans="1:19" ht="30" customHeight="1" x14ac:dyDescent="0.2">
      <c r="A110" s="2">
        <v>110</v>
      </c>
      <c r="B110" s="331" t="str">
        <f t="shared" si="2"/>
        <v>Number of inclined screws</v>
      </c>
      <c r="D110" s="331" t="s">
        <v>403</v>
      </c>
      <c r="E110" s="331" t="s">
        <v>884</v>
      </c>
      <c r="F110" s="333" t="s">
        <v>885</v>
      </c>
      <c r="G110" s="331" t="s">
        <v>886</v>
      </c>
      <c r="H110" s="331" t="s">
        <v>887</v>
      </c>
      <c r="I110" s="331" t="s">
        <v>888</v>
      </c>
      <c r="R110" s="331"/>
      <c r="S110">
        <f t="shared" si="3"/>
        <v>1111</v>
      </c>
    </row>
    <row r="111" spans="1:19" ht="30" customHeight="1" x14ac:dyDescent="0.2">
      <c r="A111" s="2">
        <v>111</v>
      </c>
      <c r="B111" s="331" t="str">
        <f t="shared" si="2"/>
        <v>Screws code</v>
      </c>
      <c r="D111" s="331" t="s">
        <v>298</v>
      </c>
      <c r="E111" s="331" t="s">
        <v>889</v>
      </c>
      <c r="F111" s="333" t="s">
        <v>1181</v>
      </c>
      <c r="G111" s="331" t="s">
        <v>890</v>
      </c>
      <c r="H111" s="331" t="s">
        <v>891</v>
      </c>
      <c r="I111" s="331" t="s">
        <v>892</v>
      </c>
      <c r="R111" s="331"/>
      <c r="S111">
        <f t="shared" si="3"/>
        <v>1111</v>
      </c>
    </row>
    <row r="112" spans="1:19" ht="30" customHeight="1" x14ac:dyDescent="0.2">
      <c r="A112" s="2">
        <v>112</v>
      </c>
      <c r="B112" s="331" t="str">
        <f t="shared" si="2"/>
        <v>Nominal diameter</v>
      </c>
      <c r="D112" s="331" t="s">
        <v>283</v>
      </c>
      <c r="E112" s="331" t="s">
        <v>816</v>
      </c>
      <c r="F112" s="333" t="s">
        <v>817</v>
      </c>
      <c r="G112" s="331" t="s">
        <v>818</v>
      </c>
      <c r="H112" s="331" t="s">
        <v>819</v>
      </c>
      <c r="I112" s="331" t="s">
        <v>820</v>
      </c>
      <c r="R112" s="331"/>
      <c r="S112">
        <f t="shared" si="3"/>
        <v>1111</v>
      </c>
    </row>
    <row r="113" spans="1:19" ht="30" customHeight="1" x14ac:dyDescent="0.2">
      <c r="A113" s="2">
        <v>113</v>
      </c>
      <c r="B113" s="331" t="str">
        <f t="shared" si="2"/>
        <v>Thread diameter</v>
      </c>
      <c r="D113" s="331" t="s">
        <v>284</v>
      </c>
      <c r="E113" s="331" t="s">
        <v>821</v>
      </c>
      <c r="F113" s="333" t="s">
        <v>822</v>
      </c>
      <c r="G113" s="331" t="s">
        <v>823</v>
      </c>
      <c r="H113" s="331" t="s">
        <v>1208</v>
      </c>
      <c r="I113" s="331" t="s">
        <v>825</v>
      </c>
      <c r="R113" s="331"/>
      <c r="S113">
        <f t="shared" si="3"/>
        <v>1111</v>
      </c>
    </row>
    <row r="114" spans="1:19" ht="30" customHeight="1" x14ac:dyDescent="0.2">
      <c r="A114" s="2">
        <v>114</v>
      </c>
      <c r="B114" s="331" t="str">
        <f t="shared" si="2"/>
        <v>Head diameter</v>
      </c>
      <c r="D114" s="331" t="s">
        <v>285</v>
      </c>
      <c r="E114" s="331" t="s">
        <v>826</v>
      </c>
      <c r="F114" s="333" t="s">
        <v>827</v>
      </c>
      <c r="G114" s="331" t="s">
        <v>828</v>
      </c>
      <c r="H114" s="331" t="s">
        <v>829</v>
      </c>
      <c r="I114" s="331" t="s">
        <v>830</v>
      </c>
      <c r="R114" s="331"/>
      <c r="S114">
        <f t="shared" si="3"/>
        <v>1111</v>
      </c>
    </row>
    <row r="115" spans="1:19" ht="30" customHeight="1" x14ac:dyDescent="0.2">
      <c r="A115" s="2">
        <v>115</v>
      </c>
      <c r="B115" s="331" t="str">
        <f t="shared" si="2"/>
        <v>Length</v>
      </c>
      <c r="D115" s="331" t="s">
        <v>11</v>
      </c>
      <c r="E115" s="331" t="s">
        <v>577</v>
      </c>
      <c r="F115" s="333" t="s">
        <v>578</v>
      </c>
      <c r="G115" s="331" t="s">
        <v>579</v>
      </c>
      <c r="H115" s="331" t="s">
        <v>580</v>
      </c>
      <c r="I115" s="331" t="s">
        <v>581</v>
      </c>
      <c r="R115" s="331"/>
      <c r="S115">
        <f t="shared" si="3"/>
        <v>1111</v>
      </c>
    </row>
    <row r="116" spans="1:19" ht="30" customHeight="1" x14ac:dyDescent="0.2">
      <c r="A116" s="2">
        <v>116</v>
      </c>
      <c r="B116" s="331" t="str">
        <f t="shared" si="2"/>
        <v>Thread length</v>
      </c>
      <c r="D116" s="331" t="s">
        <v>286</v>
      </c>
      <c r="E116" s="331" t="s">
        <v>831</v>
      </c>
      <c r="F116" s="333" t="s">
        <v>832</v>
      </c>
      <c r="G116" s="331" t="s">
        <v>833</v>
      </c>
      <c r="H116" s="331" t="s">
        <v>834</v>
      </c>
      <c r="I116" s="331" t="s">
        <v>835</v>
      </c>
      <c r="R116" s="331"/>
      <c r="S116">
        <f t="shared" si="3"/>
        <v>1111</v>
      </c>
    </row>
    <row r="117" spans="1:19" ht="30" customHeight="1" x14ac:dyDescent="0.2">
      <c r="A117" s="2">
        <v>117</v>
      </c>
      <c r="B117" s="331" t="str">
        <f t="shared" si="2"/>
        <v>Characteristic withdrawal parameter</v>
      </c>
      <c r="D117" s="331" t="s">
        <v>287</v>
      </c>
      <c r="E117" s="331" t="s">
        <v>836</v>
      </c>
      <c r="F117" s="333" t="s">
        <v>837</v>
      </c>
      <c r="G117" s="331" t="s">
        <v>838</v>
      </c>
      <c r="H117" s="331" t="s">
        <v>839</v>
      </c>
      <c r="I117" s="331" t="s">
        <v>840</v>
      </c>
      <c r="R117" s="331"/>
      <c r="S117">
        <f t="shared" si="3"/>
        <v>1111</v>
      </c>
    </row>
    <row r="118" spans="1:19" ht="30" customHeight="1" x14ac:dyDescent="0.2">
      <c r="A118" s="2">
        <v>118</v>
      </c>
      <c r="B118" s="331" t="str">
        <f t="shared" si="2"/>
        <v>Associated density</v>
      </c>
      <c r="D118" s="331" t="s">
        <v>288</v>
      </c>
      <c r="E118" s="331" t="s">
        <v>841</v>
      </c>
      <c r="F118" s="333" t="s">
        <v>842</v>
      </c>
      <c r="G118" s="331" t="s">
        <v>843</v>
      </c>
      <c r="H118" s="331" t="s">
        <v>844</v>
      </c>
      <c r="I118" s="331" t="s">
        <v>845</v>
      </c>
      <c r="R118" s="331"/>
      <c r="S118">
        <f t="shared" si="3"/>
        <v>1111</v>
      </c>
    </row>
    <row r="119" spans="1:19" ht="30" customHeight="1" x14ac:dyDescent="0.2">
      <c r="A119" s="2">
        <v>119</v>
      </c>
      <c r="B119" s="331" t="str">
        <f t="shared" si="2"/>
        <v>Characteristic tensile strength</v>
      </c>
      <c r="D119" s="331" t="s">
        <v>289</v>
      </c>
      <c r="E119" s="331" t="s">
        <v>846</v>
      </c>
      <c r="F119" s="333" t="s">
        <v>847</v>
      </c>
      <c r="G119" s="331" t="s">
        <v>848</v>
      </c>
      <c r="H119" s="331" t="s">
        <v>849</v>
      </c>
      <c r="I119" s="331" t="s">
        <v>850</v>
      </c>
      <c r="R119" s="331"/>
      <c r="S119">
        <f t="shared" si="3"/>
        <v>1111</v>
      </c>
    </row>
    <row r="120" spans="1:19" ht="30" customHeight="1" x14ac:dyDescent="0.2">
      <c r="A120" s="2">
        <v>120</v>
      </c>
      <c r="B120" s="331" t="str">
        <f t="shared" si="2"/>
        <v>Characteristic yield moment</v>
      </c>
      <c r="D120" s="331" t="s">
        <v>322</v>
      </c>
      <c r="E120" s="331" t="s">
        <v>851</v>
      </c>
      <c r="F120" s="333" t="s">
        <v>852</v>
      </c>
      <c r="G120" s="331" t="s">
        <v>853</v>
      </c>
      <c r="H120" s="331" t="s">
        <v>854</v>
      </c>
      <c r="I120" s="331" t="s">
        <v>854</v>
      </c>
      <c r="R120" s="331"/>
      <c r="S120">
        <f t="shared" si="3"/>
        <v>1111</v>
      </c>
    </row>
    <row r="121" spans="1:19" ht="30" customHeight="1" x14ac:dyDescent="0.2">
      <c r="A121" s="2">
        <v>121</v>
      </c>
      <c r="B121" s="331" t="str">
        <f t="shared" si="2"/>
        <v>2. Combinations</v>
      </c>
      <c r="D121" s="331" t="s">
        <v>1277</v>
      </c>
      <c r="E121" s="331" t="s">
        <v>1278</v>
      </c>
      <c r="F121" s="333" t="s">
        <v>1279</v>
      </c>
      <c r="G121" s="331" t="s">
        <v>1280</v>
      </c>
      <c r="H121" s="331" t="s">
        <v>1281</v>
      </c>
      <c r="I121" s="331" t="s">
        <v>1282</v>
      </c>
      <c r="R121" s="331"/>
      <c r="S121">
        <f t="shared" si="3"/>
        <v>1111</v>
      </c>
    </row>
    <row r="122" spans="1:19" ht="30" customHeight="1" x14ac:dyDescent="0.2">
      <c r="A122" s="2">
        <v>122</v>
      </c>
      <c r="B122" s="331" t="str">
        <f t="shared" si="2"/>
        <v>Service class</v>
      </c>
      <c r="D122" s="331" t="s">
        <v>137</v>
      </c>
      <c r="E122" s="331" t="s">
        <v>893</v>
      </c>
      <c r="F122" s="333" t="s">
        <v>894</v>
      </c>
      <c r="G122" s="331" t="s">
        <v>895</v>
      </c>
      <c r="H122" s="331" t="s">
        <v>896</v>
      </c>
      <c r="I122" s="331" t="s">
        <v>897</v>
      </c>
      <c r="R122" s="331"/>
      <c r="S122">
        <f t="shared" si="3"/>
        <v>1111</v>
      </c>
    </row>
    <row r="123" spans="1:19" ht="30" customHeight="1" x14ac:dyDescent="0.2">
      <c r="A123" s="2">
        <v>123</v>
      </c>
      <c r="B123" s="331" t="str">
        <f t="shared" si="2"/>
        <v xml:space="preserve">Load duration class </v>
      </c>
      <c r="D123" s="331" t="s">
        <v>138</v>
      </c>
      <c r="E123" s="331" t="s">
        <v>898</v>
      </c>
      <c r="F123" s="333" t="s">
        <v>899</v>
      </c>
      <c r="G123" s="331" t="s">
        <v>900</v>
      </c>
      <c r="H123" s="331" t="s">
        <v>901</v>
      </c>
      <c r="I123" s="331" t="s">
        <v>902</v>
      </c>
      <c r="R123" s="331"/>
      <c r="S123">
        <f t="shared" si="3"/>
        <v>1111</v>
      </c>
    </row>
    <row r="124" spans="1:19" ht="30" customHeight="1" x14ac:dyDescent="0.2">
      <c r="A124" s="2">
        <v>124</v>
      </c>
      <c r="B124" s="331" t="str">
        <f t="shared" si="2"/>
        <v>Kmod coefficient</v>
      </c>
      <c r="D124" s="331" t="s">
        <v>903</v>
      </c>
      <c r="E124" s="331" t="s">
        <v>904</v>
      </c>
      <c r="F124" s="333" t="s">
        <v>905</v>
      </c>
      <c r="G124" s="331" t="s">
        <v>906</v>
      </c>
      <c r="H124" s="331" t="s">
        <v>907</v>
      </c>
      <c r="I124" s="331" t="s">
        <v>907</v>
      </c>
      <c r="R124" s="331"/>
      <c r="S124">
        <f t="shared" si="3"/>
        <v>1111</v>
      </c>
    </row>
    <row r="125" spans="1:19" ht="100.5" customHeight="1" x14ac:dyDescent="0.2">
      <c r="A125" s="2">
        <v>125</v>
      </c>
      <c r="B125" s="331" t="str">
        <f t="shared" si="2"/>
        <v>Characterized by a material humidity in balance with the environment at a temperature of 20°C and a relative humidity of the surrounding air that does not exceed 65%, if not for a few weeks per year.</v>
      </c>
      <c r="D125" s="331" t="s">
        <v>318</v>
      </c>
      <c r="E125" s="331" t="s">
        <v>908</v>
      </c>
      <c r="F125" s="333" t="s">
        <v>1151</v>
      </c>
      <c r="G125" s="331" t="s">
        <v>909</v>
      </c>
      <c r="H125" s="331" t="s">
        <v>1221</v>
      </c>
      <c r="I125" s="331" t="s">
        <v>1133</v>
      </c>
      <c r="R125" s="331"/>
      <c r="S125">
        <f t="shared" si="3"/>
        <v>1111</v>
      </c>
    </row>
    <row r="126" spans="1:19" ht="86.25" customHeight="1" x14ac:dyDescent="0.2">
      <c r="A126" s="2">
        <v>126</v>
      </c>
      <c r="B126" s="331" t="str">
        <f t="shared" si="2"/>
        <v>It is characterized by a material humidity in balance with the environment at a temperature of 20°C and a relative humidity of the surrounding air of more than 85% for only a few weeks a year.</v>
      </c>
      <c r="D126" s="331" t="s">
        <v>319</v>
      </c>
      <c r="E126" s="331" t="s">
        <v>910</v>
      </c>
      <c r="F126" s="333" t="s">
        <v>1152</v>
      </c>
      <c r="G126" s="331" t="s">
        <v>911</v>
      </c>
      <c r="H126" s="331" t="s">
        <v>1222</v>
      </c>
      <c r="I126" s="331" t="s">
        <v>1239</v>
      </c>
      <c r="R126" s="331"/>
      <c r="S126">
        <f t="shared" si="3"/>
        <v>1111</v>
      </c>
    </row>
    <row r="127" spans="1:19" ht="38.25" customHeight="1" x14ac:dyDescent="0.2">
      <c r="A127" s="2">
        <v>127</v>
      </c>
      <c r="B127" s="331" t="str">
        <f t="shared" si="2"/>
        <v>It has higher humidity than service class 2.</v>
      </c>
      <c r="D127" s="331" t="s">
        <v>320</v>
      </c>
      <c r="E127" s="331" t="s">
        <v>912</v>
      </c>
      <c r="F127" s="333" t="s">
        <v>1153</v>
      </c>
      <c r="G127" s="331" t="s">
        <v>913</v>
      </c>
      <c r="H127" s="331" t="s">
        <v>1223</v>
      </c>
      <c r="I127" s="331" t="s">
        <v>1240</v>
      </c>
      <c r="R127" s="331"/>
      <c r="S127">
        <f t="shared" si="3"/>
        <v>1111</v>
      </c>
    </row>
    <row r="128" spans="1:19" ht="30" customHeight="1" x14ac:dyDescent="0.2">
      <c r="A128" s="2">
        <v>128</v>
      </c>
      <c r="B128" s="331" t="str">
        <f t="shared" si="2"/>
        <v>Permanent</v>
      </c>
      <c r="D128" s="331" t="s">
        <v>140</v>
      </c>
      <c r="E128" s="331" t="s">
        <v>914</v>
      </c>
      <c r="F128" s="333" t="s">
        <v>915</v>
      </c>
      <c r="G128" s="331" t="s">
        <v>140</v>
      </c>
      <c r="H128" s="331" t="s">
        <v>140</v>
      </c>
      <c r="I128" s="331" t="s">
        <v>140</v>
      </c>
      <c r="R128" s="331"/>
      <c r="S128">
        <f t="shared" si="3"/>
        <v>1111</v>
      </c>
    </row>
    <row r="129" spans="1:19" ht="30" customHeight="1" x14ac:dyDescent="0.2">
      <c r="A129" s="2">
        <v>129</v>
      </c>
      <c r="B129" s="331" t="str">
        <f t="shared" si="2"/>
        <v>Long duration</v>
      </c>
      <c r="D129" s="331" t="s">
        <v>146</v>
      </c>
      <c r="E129" s="331" t="s">
        <v>916</v>
      </c>
      <c r="F129" s="333" t="s">
        <v>1154</v>
      </c>
      <c r="G129" s="331" t="s">
        <v>917</v>
      </c>
      <c r="H129" s="331" t="s">
        <v>918</v>
      </c>
      <c r="I129" s="331" t="s">
        <v>919</v>
      </c>
      <c r="R129" s="331"/>
      <c r="S129">
        <f t="shared" si="3"/>
        <v>1111</v>
      </c>
    </row>
    <row r="130" spans="1:19" ht="30" customHeight="1" x14ac:dyDescent="0.2">
      <c r="A130" s="2">
        <v>130</v>
      </c>
      <c r="B130" s="331" t="str">
        <f t="shared" si="2"/>
        <v>Medium duration</v>
      </c>
      <c r="D130" s="331" t="s">
        <v>147</v>
      </c>
      <c r="E130" s="331" t="s">
        <v>920</v>
      </c>
      <c r="F130" s="333" t="s">
        <v>1155</v>
      </c>
      <c r="G130" s="331" t="s">
        <v>921</v>
      </c>
      <c r="H130" s="331" t="s">
        <v>922</v>
      </c>
      <c r="I130" s="331" t="s">
        <v>923</v>
      </c>
      <c r="R130" s="331"/>
      <c r="S130">
        <f t="shared" si="3"/>
        <v>1111</v>
      </c>
    </row>
    <row r="131" spans="1:19" ht="30" customHeight="1" x14ac:dyDescent="0.2">
      <c r="A131" s="2">
        <v>131</v>
      </c>
      <c r="B131" s="331" t="str">
        <f t="shared" ref="B131:B194" si="4">HLOOKUP($B$1,$D$1:$I$206,A131,FALSE)</f>
        <v>Short duration</v>
      </c>
      <c r="D131" s="331" t="s">
        <v>148</v>
      </c>
      <c r="E131" s="331" t="s">
        <v>924</v>
      </c>
      <c r="F131" s="333" t="s">
        <v>1156</v>
      </c>
      <c r="G131" s="331" t="s">
        <v>925</v>
      </c>
      <c r="H131" s="331" t="s">
        <v>926</v>
      </c>
      <c r="I131" s="331" t="s">
        <v>927</v>
      </c>
      <c r="R131" s="331"/>
      <c r="S131">
        <f t="shared" ref="S131:S194" si="5">IF(R131=G131,0,1111)</f>
        <v>1111</v>
      </c>
    </row>
    <row r="132" spans="1:19" ht="30" customHeight="1" x14ac:dyDescent="0.2">
      <c r="A132" s="2">
        <v>132</v>
      </c>
      <c r="B132" s="331" t="str">
        <f t="shared" si="4"/>
        <v>Instantaneous</v>
      </c>
      <c r="D132" s="331" t="s">
        <v>312</v>
      </c>
      <c r="E132" s="331" t="s">
        <v>928</v>
      </c>
      <c r="F132" s="333" t="s">
        <v>929</v>
      </c>
      <c r="G132" s="331" t="s">
        <v>930</v>
      </c>
      <c r="H132" s="331" t="s">
        <v>931</v>
      </c>
      <c r="I132" s="331" t="s">
        <v>932</v>
      </c>
      <c r="R132" s="331"/>
      <c r="S132">
        <f t="shared" si="5"/>
        <v>1111</v>
      </c>
    </row>
    <row r="133" spans="1:19" ht="55.5" customHeight="1" x14ac:dyDescent="0.2">
      <c r="A133" s="2">
        <v>133</v>
      </c>
      <c r="B133" s="331" t="str">
        <f t="shared" si="4"/>
        <v>Own weight and non-removable loads during normal operation of the structure.</v>
      </c>
      <c r="D133" s="331" t="s">
        <v>313</v>
      </c>
      <c r="E133" s="331" t="s">
        <v>933</v>
      </c>
      <c r="F133" s="333" t="s">
        <v>1157</v>
      </c>
      <c r="G133" s="331" t="s">
        <v>934</v>
      </c>
      <c r="H133" s="331" t="s">
        <v>1209</v>
      </c>
      <c r="I133" s="331" t="s">
        <v>1241</v>
      </c>
      <c r="R133" s="331"/>
      <c r="S133">
        <f t="shared" si="5"/>
        <v>1111</v>
      </c>
    </row>
    <row r="134" spans="1:19" ht="72" customHeight="1" x14ac:dyDescent="0.2">
      <c r="A134" s="2">
        <v>134</v>
      </c>
      <c r="B134" s="331" t="str">
        <f t="shared" si="4"/>
        <v>Permanent loads that may change during normal operation of the structure and variable loads related to warehouses and deposits.</v>
      </c>
      <c r="D134" s="331" t="s">
        <v>314</v>
      </c>
      <c r="E134" s="331" t="s">
        <v>935</v>
      </c>
      <c r="F134" s="333" t="s">
        <v>1158</v>
      </c>
      <c r="G134" s="331" t="s">
        <v>936</v>
      </c>
      <c r="H134" s="331" t="s">
        <v>1224</v>
      </c>
      <c r="I134" s="331" t="s">
        <v>1242</v>
      </c>
      <c r="R134" s="331"/>
      <c r="S134">
        <f t="shared" si="5"/>
        <v>1111</v>
      </c>
    </row>
    <row r="135" spans="1:19" ht="63" customHeight="1" x14ac:dyDescent="0.2">
      <c r="A135" s="2">
        <v>135</v>
      </c>
      <c r="B135" s="331" t="str">
        <f t="shared" si="4"/>
        <v>Variable loads of buildings, except those relating to warehouses and deposits.</v>
      </c>
      <c r="D135" s="331" t="s">
        <v>315</v>
      </c>
      <c r="E135" s="331" t="s">
        <v>937</v>
      </c>
      <c r="F135" s="333" t="s">
        <v>1159</v>
      </c>
      <c r="G135" s="331" t="s">
        <v>938</v>
      </c>
      <c r="H135" s="331" t="s">
        <v>1210</v>
      </c>
      <c r="I135" s="331" t="s">
        <v>1243</v>
      </c>
      <c r="R135" s="331"/>
      <c r="S135">
        <f t="shared" si="5"/>
        <v>1111</v>
      </c>
    </row>
    <row r="136" spans="1:19" ht="30" customHeight="1" x14ac:dyDescent="0.2">
      <c r="A136" s="2">
        <v>136</v>
      </c>
      <c r="B136" s="331" t="str">
        <f t="shared" si="4"/>
        <v>Average wind action.</v>
      </c>
      <c r="D136" s="331" t="s">
        <v>316</v>
      </c>
      <c r="E136" s="331" t="s">
        <v>939</v>
      </c>
      <c r="F136" s="333" t="s">
        <v>1182</v>
      </c>
      <c r="G136" s="331" t="s">
        <v>940</v>
      </c>
      <c r="H136" s="331" t="s">
        <v>1225</v>
      </c>
      <c r="I136" s="331" t="s">
        <v>1244</v>
      </c>
      <c r="R136" s="331"/>
      <c r="S136">
        <f t="shared" si="5"/>
        <v>1111</v>
      </c>
    </row>
    <row r="137" spans="1:19" ht="30" customHeight="1" x14ac:dyDescent="0.2">
      <c r="A137" s="2">
        <v>137</v>
      </c>
      <c r="B137" s="331" t="str">
        <f t="shared" si="4"/>
        <v>Peak wind action and exceptional action.</v>
      </c>
      <c r="D137" s="331" t="s">
        <v>317</v>
      </c>
      <c r="E137" s="331" t="s">
        <v>941</v>
      </c>
      <c r="F137" s="333" t="s">
        <v>1160</v>
      </c>
      <c r="G137" s="331" t="s">
        <v>942</v>
      </c>
      <c r="H137" s="331" t="s">
        <v>943</v>
      </c>
      <c r="I137" s="331" t="s">
        <v>1245</v>
      </c>
      <c r="R137" s="331"/>
      <c r="S137">
        <f t="shared" si="5"/>
        <v>1111</v>
      </c>
    </row>
    <row r="138" spans="1:19" ht="30" customHeight="1" x14ac:dyDescent="0.2">
      <c r="A138" s="2">
        <v>138</v>
      </c>
      <c r="B138" s="331" t="str">
        <f t="shared" si="4"/>
        <v>Continuously controlled production (VOC &lt;15%)</v>
      </c>
      <c r="D138" s="331" t="s">
        <v>335</v>
      </c>
      <c r="E138" s="331" t="s">
        <v>944</v>
      </c>
      <c r="F138" s="333" t="s">
        <v>1183</v>
      </c>
      <c r="G138" s="331" t="s">
        <v>945</v>
      </c>
      <c r="H138" s="331" t="s">
        <v>1211</v>
      </c>
      <c r="I138" s="331" t="s">
        <v>1246</v>
      </c>
      <c r="R138" s="331"/>
      <c r="S138">
        <f t="shared" si="5"/>
        <v>1111</v>
      </c>
    </row>
    <row r="139" spans="1:19" ht="30" customHeight="1" x14ac:dyDescent="0.2">
      <c r="A139" s="2">
        <v>139</v>
      </c>
      <c r="B139" s="331" t="str">
        <f t="shared" si="4"/>
        <v>Safety coefficient of connection</v>
      </c>
      <c r="D139" s="331" t="s">
        <v>491</v>
      </c>
      <c r="E139" s="331" t="s">
        <v>946</v>
      </c>
      <c r="F139" s="333" t="s">
        <v>1184</v>
      </c>
      <c r="G139" s="331" t="s">
        <v>947</v>
      </c>
      <c r="H139" s="331" t="s">
        <v>948</v>
      </c>
      <c r="I139" s="331" t="s">
        <v>949</v>
      </c>
      <c r="R139" s="331"/>
      <c r="S139">
        <f t="shared" si="5"/>
        <v>1111</v>
      </c>
    </row>
    <row r="140" spans="1:19" ht="30" customHeight="1" x14ac:dyDescent="0.2">
      <c r="A140" s="2">
        <v>140</v>
      </c>
      <c r="B140" s="331" t="str">
        <f t="shared" si="4"/>
        <v>Safety coefficient of aluminium</v>
      </c>
      <c r="D140" s="331" t="s">
        <v>253</v>
      </c>
      <c r="E140" s="331" t="s">
        <v>950</v>
      </c>
      <c r="F140" s="333" t="s">
        <v>1185</v>
      </c>
      <c r="G140" s="331" t="s">
        <v>951</v>
      </c>
      <c r="H140" s="331" t="s">
        <v>952</v>
      </c>
      <c r="I140" s="331" t="s">
        <v>953</v>
      </c>
      <c r="R140" s="331"/>
      <c r="S140">
        <f t="shared" si="5"/>
        <v>1111</v>
      </c>
    </row>
    <row r="141" spans="1:19" ht="30" customHeight="1" x14ac:dyDescent="0.2">
      <c r="A141" s="2">
        <v>141</v>
      </c>
      <c r="B141" s="331" t="str">
        <f t="shared" si="4"/>
        <v>6. Design checks for individual direction</v>
      </c>
      <c r="D141" s="331" t="s">
        <v>424</v>
      </c>
      <c r="E141" s="331" t="s">
        <v>954</v>
      </c>
      <c r="F141" s="333" t="s">
        <v>1186</v>
      </c>
      <c r="G141" s="331" t="s">
        <v>955</v>
      </c>
      <c r="H141" s="331" t="s">
        <v>1212</v>
      </c>
      <c r="I141" s="331" t="s">
        <v>1247</v>
      </c>
      <c r="R141" s="331"/>
      <c r="S141">
        <f t="shared" si="5"/>
        <v>1111</v>
      </c>
    </row>
    <row r="142" spans="1:19" ht="121.5" customHeight="1" x14ac:dyDescent="0.2">
      <c r="A142" s="2">
        <v>142</v>
      </c>
      <c r="B142" s="331" t="str">
        <f t="shared" si="4"/>
        <v>Dimensioning and life of the timber elements must be carried out separately. In particular, for loads perpendicular to the beam axis, it is recommended to perform a splitting check in both wooden elements.</v>
      </c>
      <c r="D142" s="331" t="s">
        <v>956</v>
      </c>
      <c r="E142" s="331" t="s">
        <v>957</v>
      </c>
      <c r="F142" s="333" t="s">
        <v>1172</v>
      </c>
      <c r="G142" s="331" t="s">
        <v>1258</v>
      </c>
      <c r="H142" s="331" t="s">
        <v>1226</v>
      </c>
      <c r="I142" s="331" t="s">
        <v>958</v>
      </c>
      <c r="R142" s="331"/>
      <c r="S142">
        <f t="shared" si="5"/>
        <v>1111</v>
      </c>
    </row>
    <row r="143" spans="1:19" ht="30" customHeight="1" x14ac:dyDescent="0.2">
      <c r="A143" s="2">
        <v>143</v>
      </c>
      <c r="B143" s="331" t="str">
        <f t="shared" si="4"/>
        <v>6.1 Vertical shear (Fv)</v>
      </c>
      <c r="D143" s="331" t="s">
        <v>481</v>
      </c>
      <c r="E143" s="331" t="s">
        <v>597</v>
      </c>
      <c r="F143" s="333" t="s">
        <v>959</v>
      </c>
      <c r="G143" s="331" t="s">
        <v>960</v>
      </c>
      <c r="H143" s="331" t="s">
        <v>599</v>
      </c>
      <c r="I143" s="331" t="s">
        <v>599</v>
      </c>
      <c r="R143" s="331"/>
      <c r="S143">
        <f t="shared" si="5"/>
        <v>1111</v>
      </c>
    </row>
    <row r="144" spans="1:19" ht="30" customHeight="1" x14ac:dyDescent="0.2">
      <c r="A144" s="2">
        <v>144</v>
      </c>
      <c r="B144" s="331" t="str">
        <f t="shared" si="4"/>
        <v>Characteristic resistance to bearing stress main element</v>
      </c>
      <c r="D144" s="331" t="s">
        <v>432</v>
      </c>
      <c r="E144" s="331" t="s">
        <v>961</v>
      </c>
      <c r="F144" s="333" t="s">
        <v>1161</v>
      </c>
      <c r="G144" s="331" t="s">
        <v>962</v>
      </c>
      <c r="H144" s="331" t="s">
        <v>1213</v>
      </c>
      <c r="I144" s="331" t="s">
        <v>963</v>
      </c>
      <c r="R144" s="331"/>
      <c r="S144">
        <f t="shared" si="5"/>
        <v>1111</v>
      </c>
    </row>
    <row r="145" spans="1:19" ht="30" customHeight="1" x14ac:dyDescent="0.2">
      <c r="A145" s="2">
        <v>145</v>
      </c>
      <c r="B145" s="331" t="str">
        <f t="shared" si="4"/>
        <v>Characteristic axial capacity of a screw on main element</v>
      </c>
      <c r="D145" s="331" t="s">
        <v>428</v>
      </c>
      <c r="E145" s="331" t="s">
        <v>964</v>
      </c>
      <c r="F145" s="333" t="s">
        <v>1162</v>
      </c>
      <c r="G145" s="331" t="s">
        <v>965</v>
      </c>
      <c r="H145" s="331" t="s">
        <v>966</v>
      </c>
      <c r="I145" s="331" t="s">
        <v>967</v>
      </c>
      <c r="R145" s="331"/>
      <c r="S145">
        <f t="shared" si="5"/>
        <v>1111</v>
      </c>
    </row>
    <row r="146" spans="1:19" ht="53.25" customHeight="1" x14ac:dyDescent="0.2">
      <c r="A146" s="2">
        <v>146</v>
      </c>
      <c r="B146" s="331" t="str">
        <f t="shared" si="4"/>
        <v>Load characteristic capacity for shear plane for fastening main element</v>
      </c>
      <c r="D146" s="331" t="s">
        <v>433</v>
      </c>
      <c r="E146" s="331" t="s">
        <v>968</v>
      </c>
      <c r="F146" s="333" t="s">
        <v>1163</v>
      </c>
      <c r="G146" s="334" t="s">
        <v>1259</v>
      </c>
      <c r="H146" s="331" t="s">
        <v>1227</v>
      </c>
      <c r="I146" s="331" t="s">
        <v>969</v>
      </c>
      <c r="R146" s="334"/>
      <c r="S146">
        <f t="shared" si="5"/>
        <v>1111</v>
      </c>
    </row>
    <row r="147" spans="1:19" ht="30" customHeight="1" x14ac:dyDescent="0.2">
      <c r="A147" s="2">
        <v>147</v>
      </c>
      <c r="B147" s="331" t="str">
        <f t="shared" si="4"/>
        <v>Form factor</v>
      </c>
      <c r="D147" s="331" t="s">
        <v>401</v>
      </c>
      <c r="E147" s="331" t="s">
        <v>784</v>
      </c>
      <c r="F147" s="333" t="s">
        <v>785</v>
      </c>
      <c r="G147" s="331" t="s">
        <v>786</v>
      </c>
      <c r="H147" s="331" t="s">
        <v>787</v>
      </c>
      <c r="I147" s="331" t="s">
        <v>788</v>
      </c>
      <c r="R147" s="331"/>
      <c r="S147">
        <f t="shared" si="5"/>
        <v>1111</v>
      </c>
    </row>
    <row r="148" spans="1:19" ht="30" customHeight="1" x14ac:dyDescent="0.2">
      <c r="A148" s="2">
        <v>148</v>
      </c>
      <c r="B148" s="331" t="str">
        <f t="shared" si="4"/>
        <v>Characteristic strength main element</v>
      </c>
      <c r="D148" s="331" t="s">
        <v>435</v>
      </c>
      <c r="E148" s="331" t="s">
        <v>970</v>
      </c>
      <c r="F148" s="333" t="s">
        <v>1164</v>
      </c>
      <c r="G148" s="331" t="s">
        <v>972</v>
      </c>
      <c r="H148" s="331" t="s">
        <v>973</v>
      </c>
      <c r="I148" s="331" t="s">
        <v>974</v>
      </c>
      <c r="R148" s="331"/>
      <c r="S148">
        <f t="shared" si="5"/>
        <v>1111</v>
      </c>
    </row>
    <row r="149" spans="1:19" ht="30" customHeight="1" x14ac:dyDescent="0.2">
      <c r="A149" s="2">
        <v>149</v>
      </c>
      <c r="B149" s="331" t="str">
        <f t="shared" si="4"/>
        <v>Characteristic strength aluminium</v>
      </c>
      <c r="D149" s="331" t="s">
        <v>431</v>
      </c>
      <c r="E149" s="331" t="s">
        <v>975</v>
      </c>
      <c r="F149" s="333" t="s">
        <v>1187</v>
      </c>
      <c r="G149" s="331" t="s">
        <v>976</v>
      </c>
      <c r="H149" s="331" t="s">
        <v>977</v>
      </c>
      <c r="I149" s="331" t="s">
        <v>978</v>
      </c>
      <c r="R149" s="331"/>
      <c r="S149">
        <f t="shared" si="5"/>
        <v>1111</v>
      </c>
    </row>
    <row r="150" spans="1:19" ht="30" customHeight="1" x14ac:dyDescent="0.2">
      <c r="A150" s="2">
        <v>150</v>
      </c>
      <c r="B150" s="331" t="str">
        <f t="shared" si="4"/>
        <v>Characteristic resistance to bearing stress secondary element</v>
      </c>
      <c r="D150" s="331" t="s">
        <v>430</v>
      </c>
      <c r="E150" s="331" t="s">
        <v>979</v>
      </c>
      <c r="F150" s="333" t="s">
        <v>1165</v>
      </c>
      <c r="G150" s="331" t="s">
        <v>980</v>
      </c>
      <c r="H150" s="331" t="s">
        <v>1214</v>
      </c>
      <c r="I150" s="331" t="s">
        <v>981</v>
      </c>
      <c r="R150" s="331"/>
      <c r="S150">
        <f t="shared" si="5"/>
        <v>1111</v>
      </c>
    </row>
    <row r="151" spans="1:19" ht="47.25" customHeight="1" x14ac:dyDescent="0.2">
      <c r="A151" s="2">
        <v>151</v>
      </c>
      <c r="B151" s="331" t="str">
        <f t="shared" si="4"/>
        <v>Characteristic axial capacity of a screw on secondary element</v>
      </c>
      <c r="D151" s="331" t="s">
        <v>427</v>
      </c>
      <c r="E151" s="331" t="s">
        <v>982</v>
      </c>
      <c r="F151" s="333" t="s">
        <v>1188</v>
      </c>
      <c r="G151" s="331" t="s">
        <v>983</v>
      </c>
      <c r="H151" s="331" t="s">
        <v>984</v>
      </c>
      <c r="I151" s="331" t="s">
        <v>985</v>
      </c>
      <c r="R151" s="331"/>
      <c r="S151">
        <f t="shared" si="5"/>
        <v>1111</v>
      </c>
    </row>
    <row r="152" spans="1:19" ht="51" customHeight="1" x14ac:dyDescent="0.2">
      <c r="A152" s="2">
        <v>152</v>
      </c>
      <c r="B152" s="331" t="str">
        <f t="shared" si="4"/>
        <v>Load characteristic capacity for shear plane for fastening secondary element</v>
      </c>
      <c r="D152" s="331" t="s">
        <v>429</v>
      </c>
      <c r="E152" s="331" t="s">
        <v>986</v>
      </c>
      <c r="F152" s="333" t="s">
        <v>1166</v>
      </c>
      <c r="G152" s="331" t="s">
        <v>1260</v>
      </c>
      <c r="H152" s="331" t="s">
        <v>1215</v>
      </c>
      <c r="I152" s="331" t="s">
        <v>988</v>
      </c>
      <c r="R152" s="331"/>
      <c r="S152">
        <f t="shared" si="5"/>
        <v>1111</v>
      </c>
    </row>
    <row r="153" spans="1:19" ht="30" customHeight="1" x14ac:dyDescent="0.2">
      <c r="A153" s="2">
        <v>153</v>
      </c>
      <c r="B153" s="331" t="str">
        <f t="shared" si="4"/>
        <v>Characteristic strength secondary element</v>
      </c>
      <c r="D153" s="331" t="s">
        <v>436</v>
      </c>
      <c r="E153" s="331" t="s">
        <v>989</v>
      </c>
      <c r="F153" s="333" t="s">
        <v>1167</v>
      </c>
      <c r="G153" s="331" t="s">
        <v>991</v>
      </c>
      <c r="H153" s="331" t="s">
        <v>992</v>
      </c>
      <c r="I153" s="331" t="s">
        <v>993</v>
      </c>
      <c r="R153" s="331"/>
      <c r="S153">
        <f t="shared" si="5"/>
        <v>1111</v>
      </c>
    </row>
    <row r="154" spans="1:19" ht="30" customHeight="1" x14ac:dyDescent="0.2">
      <c r="A154" s="2">
        <v>154</v>
      </c>
      <c r="B154" s="331" t="str">
        <f t="shared" si="4"/>
        <v>Characteristic strenght</v>
      </c>
      <c r="D154" s="331" t="s">
        <v>278</v>
      </c>
      <c r="E154" s="331" t="s">
        <v>994</v>
      </c>
      <c r="F154" s="333" t="s">
        <v>995</v>
      </c>
      <c r="G154" s="331" t="s">
        <v>996</v>
      </c>
      <c r="H154" s="331" t="s">
        <v>997</v>
      </c>
      <c r="I154" s="331" t="s">
        <v>998</v>
      </c>
      <c r="R154" s="331"/>
      <c r="S154">
        <f t="shared" si="5"/>
        <v>1111</v>
      </c>
    </row>
    <row r="155" spans="1:19" ht="30" customHeight="1" x14ac:dyDescent="0.2">
      <c r="A155" s="2">
        <v>155</v>
      </c>
      <c r="B155" s="331" t="str">
        <f t="shared" si="4"/>
        <v>Design strength</v>
      </c>
      <c r="D155" s="331" t="s">
        <v>277</v>
      </c>
      <c r="E155" s="331" t="s">
        <v>999</v>
      </c>
      <c r="F155" s="333" t="s">
        <v>1189</v>
      </c>
      <c r="G155" s="331" t="s">
        <v>1000</v>
      </c>
      <c r="H155" s="331" t="s">
        <v>1001</v>
      </c>
      <c r="I155" s="331" t="s">
        <v>1002</v>
      </c>
      <c r="R155" s="331"/>
      <c r="S155">
        <f t="shared" si="5"/>
        <v>1111</v>
      </c>
    </row>
    <row r="156" spans="1:19" ht="30" customHeight="1" x14ac:dyDescent="0.2">
      <c r="A156" s="2">
        <v>156</v>
      </c>
      <c r="B156" s="331" t="str">
        <f t="shared" si="4"/>
        <v>Verification of connection</v>
      </c>
      <c r="D156" s="331" t="s">
        <v>336</v>
      </c>
      <c r="E156" s="331" t="s">
        <v>1003</v>
      </c>
      <c r="F156" s="333" t="s">
        <v>1004</v>
      </c>
      <c r="G156" s="331" t="s">
        <v>1005</v>
      </c>
      <c r="H156" s="331" t="s">
        <v>1006</v>
      </c>
      <c r="I156" s="331" t="s">
        <v>1007</v>
      </c>
      <c r="R156" s="331"/>
      <c r="S156">
        <f t="shared" si="5"/>
        <v>1111</v>
      </c>
    </row>
    <row r="157" spans="1:19" ht="30" customHeight="1" x14ac:dyDescent="0.2">
      <c r="A157" s="2">
        <v>157</v>
      </c>
      <c r="B157" s="331" t="str">
        <f t="shared" si="4"/>
        <v>6.2 vertical Lifting shear (Fup)</v>
      </c>
      <c r="D157" s="331" t="s">
        <v>1008</v>
      </c>
      <c r="E157" s="331" t="s">
        <v>1009</v>
      </c>
      <c r="F157" s="333" t="s">
        <v>1138</v>
      </c>
      <c r="G157" s="331" t="s">
        <v>1010</v>
      </c>
      <c r="H157" s="331" t="s">
        <v>1011</v>
      </c>
      <c r="I157" s="331" t="s">
        <v>1012</v>
      </c>
      <c r="R157" s="331"/>
      <c r="S157">
        <f t="shared" si="5"/>
        <v>1111</v>
      </c>
    </row>
    <row r="158" spans="1:19" ht="30" customHeight="1" x14ac:dyDescent="0.2">
      <c r="A158" s="2">
        <v>158</v>
      </c>
      <c r="B158" s="331" t="str">
        <f t="shared" si="4"/>
        <v>Characteristic resistance to bearing stress</v>
      </c>
      <c r="D158" s="331" t="s">
        <v>426</v>
      </c>
      <c r="E158" s="331" t="s">
        <v>1013</v>
      </c>
      <c r="F158" s="333" t="s">
        <v>1168</v>
      </c>
      <c r="G158" s="331" t="s">
        <v>1014</v>
      </c>
      <c r="H158" s="331" t="s">
        <v>1216</v>
      </c>
      <c r="I158" s="331" t="s">
        <v>1015</v>
      </c>
      <c r="R158" s="331"/>
      <c r="S158">
        <f t="shared" si="5"/>
        <v>1111</v>
      </c>
    </row>
    <row r="159" spans="1:19" ht="30" customHeight="1" x14ac:dyDescent="0.2">
      <c r="A159" s="2">
        <v>159</v>
      </c>
      <c r="B159" s="331" t="str">
        <f t="shared" si="4"/>
        <v>Characteristic axial capacity of an inclined screw</v>
      </c>
      <c r="D159" s="331" t="s">
        <v>425</v>
      </c>
      <c r="E159" s="331" t="s">
        <v>1016</v>
      </c>
      <c r="F159" s="333" t="s">
        <v>1190</v>
      </c>
      <c r="G159" s="331" t="s">
        <v>1017</v>
      </c>
      <c r="H159" s="331" t="s">
        <v>1018</v>
      </c>
      <c r="I159" s="331" t="s">
        <v>1019</v>
      </c>
      <c r="R159" s="331"/>
      <c r="S159">
        <f t="shared" si="5"/>
        <v>1111</v>
      </c>
    </row>
    <row r="160" spans="1:19" ht="30" customHeight="1" x14ac:dyDescent="0.2">
      <c r="A160" s="2">
        <v>160</v>
      </c>
      <c r="B160" s="331" t="str">
        <f t="shared" si="4"/>
        <v>Characteristic strength main element</v>
      </c>
      <c r="D160" s="331" t="s">
        <v>435</v>
      </c>
      <c r="E160" s="331" t="s">
        <v>970</v>
      </c>
      <c r="F160" s="333" t="s">
        <v>971</v>
      </c>
      <c r="G160" s="331" t="s">
        <v>972</v>
      </c>
      <c r="H160" s="331" t="s">
        <v>973</v>
      </c>
      <c r="I160" s="331" t="s">
        <v>974</v>
      </c>
      <c r="R160" s="331"/>
      <c r="S160">
        <f t="shared" si="5"/>
        <v>1111</v>
      </c>
    </row>
    <row r="161" spans="1:19" ht="30" customHeight="1" x14ac:dyDescent="0.2">
      <c r="A161" s="2">
        <v>161</v>
      </c>
      <c r="B161" s="331" t="str">
        <f t="shared" si="4"/>
        <v>Characteristic strength aluminium</v>
      </c>
      <c r="D161" s="331" t="s">
        <v>431</v>
      </c>
      <c r="E161" s="331" t="s">
        <v>975</v>
      </c>
      <c r="F161" s="333" t="s">
        <v>1187</v>
      </c>
      <c r="G161" s="331" t="s">
        <v>976</v>
      </c>
      <c r="H161" s="331" t="s">
        <v>977</v>
      </c>
      <c r="I161" s="331" t="s">
        <v>978</v>
      </c>
      <c r="R161" s="331"/>
      <c r="S161">
        <f t="shared" si="5"/>
        <v>1111</v>
      </c>
    </row>
    <row r="162" spans="1:19" ht="30" customHeight="1" x14ac:dyDescent="0.2">
      <c r="A162" s="2">
        <v>162</v>
      </c>
      <c r="B162" s="331" t="str">
        <f t="shared" si="4"/>
        <v>Characteristic resistance to bearing stress</v>
      </c>
      <c r="D162" s="331" t="s">
        <v>426</v>
      </c>
      <c r="E162" s="331" t="s">
        <v>1013</v>
      </c>
      <c r="F162" s="333" t="s">
        <v>1191</v>
      </c>
      <c r="G162" s="334" t="s">
        <v>1261</v>
      </c>
      <c r="H162" s="331" t="s">
        <v>1216</v>
      </c>
      <c r="I162" s="331" t="s">
        <v>1015</v>
      </c>
      <c r="R162" s="334"/>
      <c r="S162">
        <f t="shared" si="5"/>
        <v>1111</v>
      </c>
    </row>
    <row r="163" spans="1:19" ht="30" customHeight="1" x14ac:dyDescent="0.2">
      <c r="A163" s="2">
        <v>163</v>
      </c>
      <c r="B163" s="331" t="str">
        <f t="shared" si="4"/>
        <v>Characteristic axial capacity of an inclined screw</v>
      </c>
      <c r="D163" s="331" t="s">
        <v>425</v>
      </c>
      <c r="E163" s="331" t="s">
        <v>1016</v>
      </c>
      <c r="F163" s="333" t="s">
        <v>1190</v>
      </c>
      <c r="G163" s="331" t="s">
        <v>1017</v>
      </c>
      <c r="H163" s="331" t="s">
        <v>1018</v>
      </c>
      <c r="I163" s="331" t="s">
        <v>1019</v>
      </c>
      <c r="R163" s="331"/>
      <c r="S163">
        <f t="shared" si="5"/>
        <v>1111</v>
      </c>
    </row>
    <row r="164" spans="1:19" ht="43.5" customHeight="1" x14ac:dyDescent="0.2">
      <c r="A164" s="2">
        <v>164</v>
      </c>
      <c r="B164" s="331" t="str">
        <f t="shared" si="4"/>
        <v>Load characteristic capacity for shear plane for fastening secondary element</v>
      </c>
      <c r="D164" s="331" t="s">
        <v>429</v>
      </c>
      <c r="E164" s="331" t="s">
        <v>1020</v>
      </c>
      <c r="F164" s="333" t="s">
        <v>1192</v>
      </c>
      <c r="G164" s="331" t="s">
        <v>987</v>
      </c>
      <c r="H164" s="331" t="s">
        <v>1215</v>
      </c>
      <c r="I164" s="331" t="s">
        <v>988</v>
      </c>
      <c r="R164" s="331"/>
      <c r="S164">
        <f t="shared" si="5"/>
        <v>1111</v>
      </c>
    </row>
    <row r="165" spans="1:19" ht="30" customHeight="1" x14ac:dyDescent="0.2">
      <c r="A165" s="2">
        <v>165</v>
      </c>
      <c r="B165" s="331" t="str">
        <f t="shared" si="4"/>
        <v>Characteristic strength secondary element</v>
      </c>
      <c r="D165" s="331" t="s">
        <v>436</v>
      </c>
      <c r="E165" s="331" t="s">
        <v>989</v>
      </c>
      <c r="F165" s="333" t="s">
        <v>990</v>
      </c>
      <c r="G165" s="331" t="s">
        <v>991</v>
      </c>
      <c r="H165" s="331" t="s">
        <v>992</v>
      </c>
      <c r="I165" s="331" t="s">
        <v>993</v>
      </c>
      <c r="R165" s="331"/>
      <c r="S165">
        <f t="shared" si="5"/>
        <v>1111</v>
      </c>
    </row>
    <row r="166" spans="1:19" ht="30" customHeight="1" x14ac:dyDescent="0.2">
      <c r="A166" s="2">
        <v>166</v>
      </c>
      <c r="B166" s="331" t="str">
        <f t="shared" si="4"/>
        <v>Characteristic strenght</v>
      </c>
      <c r="D166" s="331" t="s">
        <v>278</v>
      </c>
      <c r="E166" s="331" t="s">
        <v>994</v>
      </c>
      <c r="F166" s="333" t="s">
        <v>995</v>
      </c>
      <c r="G166" s="331" t="s">
        <v>996</v>
      </c>
      <c r="H166" s="331" t="s">
        <v>997</v>
      </c>
      <c r="I166" s="331" t="s">
        <v>998</v>
      </c>
      <c r="R166" s="331"/>
      <c r="S166">
        <f t="shared" si="5"/>
        <v>1111</v>
      </c>
    </row>
    <row r="167" spans="1:19" ht="30" customHeight="1" x14ac:dyDescent="0.2">
      <c r="A167" s="2">
        <v>167</v>
      </c>
      <c r="B167" s="331" t="str">
        <f t="shared" si="4"/>
        <v>Design strength</v>
      </c>
      <c r="D167" s="331" t="s">
        <v>277</v>
      </c>
      <c r="E167" s="331" t="s">
        <v>999</v>
      </c>
      <c r="F167" s="333" t="s">
        <v>1189</v>
      </c>
      <c r="G167" s="331" t="s">
        <v>1000</v>
      </c>
      <c r="H167" s="331" t="s">
        <v>1001</v>
      </c>
      <c r="I167" s="331" t="s">
        <v>1002</v>
      </c>
      <c r="R167" s="331"/>
      <c r="S167">
        <f t="shared" si="5"/>
        <v>1111</v>
      </c>
    </row>
    <row r="168" spans="1:19" ht="30" customHeight="1" x14ac:dyDescent="0.2">
      <c r="A168" s="2">
        <v>168</v>
      </c>
      <c r="B168" s="331" t="str">
        <f t="shared" si="4"/>
        <v>Verification of connection</v>
      </c>
      <c r="D168" s="331" t="s">
        <v>336</v>
      </c>
      <c r="E168" s="331" t="s">
        <v>1003</v>
      </c>
      <c r="F168" s="333" t="s">
        <v>1004</v>
      </c>
      <c r="G168" s="331" t="s">
        <v>1005</v>
      </c>
      <c r="H168" s="331" t="s">
        <v>1006</v>
      </c>
      <c r="I168" s="331" t="s">
        <v>1007</v>
      </c>
      <c r="R168" s="331"/>
      <c r="S168">
        <f t="shared" si="5"/>
        <v>1111</v>
      </c>
    </row>
    <row r="169" spans="1:19" ht="30" customHeight="1" x14ac:dyDescent="0.2">
      <c r="A169" s="2">
        <v>169</v>
      </c>
      <c r="B169" s="331" t="str">
        <f t="shared" si="4"/>
        <v>6.3 Axial (Fax)</v>
      </c>
      <c r="D169" s="331" t="s">
        <v>482</v>
      </c>
      <c r="E169" s="331" t="s">
        <v>606</v>
      </c>
      <c r="F169" s="333" t="s">
        <v>606</v>
      </c>
      <c r="G169" s="331" t="s">
        <v>607</v>
      </c>
      <c r="H169" s="331" t="s">
        <v>606</v>
      </c>
      <c r="I169" s="331" t="s">
        <v>608</v>
      </c>
      <c r="R169" s="331"/>
      <c r="S169">
        <f t="shared" si="5"/>
        <v>1111</v>
      </c>
    </row>
    <row r="170" spans="1:19" ht="30" customHeight="1" x14ac:dyDescent="0.2">
      <c r="A170" s="2">
        <v>170</v>
      </c>
      <c r="B170" s="331" t="str">
        <f t="shared" si="4"/>
        <v>Characteristic strength main element</v>
      </c>
      <c r="D170" s="331" t="s">
        <v>435</v>
      </c>
      <c r="E170" s="331" t="s">
        <v>970</v>
      </c>
      <c r="F170" s="333" t="s">
        <v>1164</v>
      </c>
      <c r="G170" s="331" t="s">
        <v>972</v>
      </c>
      <c r="H170" s="331" t="s">
        <v>973</v>
      </c>
      <c r="I170" s="331" t="s">
        <v>974</v>
      </c>
      <c r="R170" s="331"/>
      <c r="S170">
        <f t="shared" si="5"/>
        <v>1111</v>
      </c>
    </row>
    <row r="171" spans="1:19" ht="30" customHeight="1" x14ac:dyDescent="0.2">
      <c r="A171" s="2">
        <v>171</v>
      </c>
      <c r="B171" s="331" t="str">
        <f t="shared" si="4"/>
        <v>Characteristic strength aluminium</v>
      </c>
      <c r="D171" s="331" t="s">
        <v>431</v>
      </c>
      <c r="E171" s="331" t="s">
        <v>975</v>
      </c>
      <c r="F171" s="333" t="s">
        <v>1187</v>
      </c>
      <c r="G171" s="331" t="s">
        <v>976</v>
      </c>
      <c r="H171" s="331" t="s">
        <v>977</v>
      </c>
      <c r="I171" s="331" t="s">
        <v>978</v>
      </c>
      <c r="R171" s="331"/>
      <c r="S171">
        <f t="shared" si="5"/>
        <v>1111</v>
      </c>
    </row>
    <row r="172" spans="1:19" ht="30" customHeight="1" x14ac:dyDescent="0.2">
      <c r="A172" s="2">
        <v>172</v>
      </c>
      <c r="B172" s="331" t="str">
        <f t="shared" si="4"/>
        <v>Characteristic strength secondary element</v>
      </c>
      <c r="D172" s="331" t="s">
        <v>436</v>
      </c>
      <c r="E172" s="331" t="s">
        <v>989</v>
      </c>
      <c r="F172" s="333" t="s">
        <v>1167</v>
      </c>
      <c r="G172" s="331" t="s">
        <v>991</v>
      </c>
      <c r="H172" s="331" t="s">
        <v>992</v>
      </c>
      <c r="I172" s="331" t="s">
        <v>993</v>
      </c>
      <c r="R172" s="331"/>
      <c r="S172">
        <f t="shared" si="5"/>
        <v>1111</v>
      </c>
    </row>
    <row r="173" spans="1:19" ht="30" customHeight="1" x14ac:dyDescent="0.2">
      <c r="A173" s="2">
        <v>173</v>
      </c>
      <c r="B173" s="331" t="str">
        <f t="shared" si="4"/>
        <v>Characteristic strenght</v>
      </c>
      <c r="D173" s="331" t="s">
        <v>278</v>
      </c>
      <c r="E173" s="331" t="s">
        <v>994</v>
      </c>
      <c r="F173" s="333" t="s">
        <v>995</v>
      </c>
      <c r="G173" s="331" t="s">
        <v>996</v>
      </c>
      <c r="H173" s="331" t="s">
        <v>997</v>
      </c>
      <c r="I173" s="331" t="s">
        <v>998</v>
      </c>
      <c r="R173" s="331"/>
      <c r="S173">
        <f t="shared" si="5"/>
        <v>1111</v>
      </c>
    </row>
    <row r="174" spans="1:19" ht="30" customHeight="1" x14ac:dyDescent="0.2">
      <c r="A174" s="2">
        <v>174</v>
      </c>
      <c r="B174" s="331" t="str">
        <f t="shared" si="4"/>
        <v>Design strength</v>
      </c>
      <c r="D174" s="331" t="s">
        <v>277</v>
      </c>
      <c r="E174" s="331" t="s">
        <v>999</v>
      </c>
      <c r="F174" s="333" t="s">
        <v>1189</v>
      </c>
      <c r="G174" s="331" t="s">
        <v>1000</v>
      </c>
      <c r="H174" s="331" t="s">
        <v>1001</v>
      </c>
      <c r="I174" s="331" t="s">
        <v>1002</v>
      </c>
      <c r="R174" s="331"/>
      <c r="S174">
        <f t="shared" si="5"/>
        <v>1111</v>
      </c>
    </row>
    <row r="175" spans="1:19" ht="30" customHeight="1" x14ac:dyDescent="0.2">
      <c r="A175" s="2">
        <v>175</v>
      </c>
      <c r="B175" s="331" t="str">
        <f t="shared" si="4"/>
        <v>Verification of connection</v>
      </c>
      <c r="D175" s="331" t="s">
        <v>336</v>
      </c>
      <c r="E175" s="331" t="s">
        <v>1003</v>
      </c>
      <c r="F175" s="333" t="s">
        <v>1004</v>
      </c>
      <c r="G175" s="331" t="s">
        <v>1005</v>
      </c>
      <c r="H175" s="331" t="s">
        <v>1006</v>
      </c>
      <c r="I175" s="331" t="s">
        <v>1007</v>
      </c>
      <c r="R175" s="331"/>
      <c r="S175">
        <f t="shared" si="5"/>
        <v>1111</v>
      </c>
    </row>
    <row r="176" spans="1:19" ht="30" customHeight="1" x14ac:dyDescent="0.2">
      <c r="A176" s="2">
        <v>176</v>
      </c>
      <c r="B176" s="331" t="str">
        <f t="shared" si="4"/>
        <v>6.4 lateral shear load (Flat)</v>
      </c>
      <c r="D176" s="331" t="s">
        <v>483</v>
      </c>
      <c r="E176" s="331" t="s">
        <v>609</v>
      </c>
      <c r="F176" s="333" t="s">
        <v>1021</v>
      </c>
      <c r="G176" s="331" t="s">
        <v>610</v>
      </c>
      <c r="H176" s="331" t="s">
        <v>611</v>
      </c>
      <c r="I176" s="331" t="s">
        <v>611</v>
      </c>
      <c r="R176" s="331"/>
      <c r="S176">
        <f t="shared" si="5"/>
        <v>1111</v>
      </c>
    </row>
    <row r="177" spans="1:19" ht="30" customHeight="1" x14ac:dyDescent="0.2">
      <c r="A177" s="2">
        <v>177</v>
      </c>
      <c r="B177" s="331" t="str">
        <f t="shared" si="4"/>
        <v>Effective number of screws for secondary or main element</v>
      </c>
      <c r="D177" s="331" t="s">
        <v>409</v>
      </c>
      <c r="E177" s="331" t="s">
        <v>1022</v>
      </c>
      <c r="F177" s="333" t="s">
        <v>1193</v>
      </c>
      <c r="G177" s="331" t="s">
        <v>1023</v>
      </c>
      <c r="H177" s="331" t="s">
        <v>1024</v>
      </c>
      <c r="I177" s="331" t="s">
        <v>1025</v>
      </c>
      <c r="R177" s="331"/>
      <c r="S177">
        <f t="shared" si="5"/>
        <v>1111</v>
      </c>
    </row>
    <row r="178" spans="1:19" ht="30" customHeight="1" x14ac:dyDescent="0.2">
      <c r="A178" s="2">
        <v>178</v>
      </c>
      <c r="B178" s="331" t="str">
        <f t="shared" si="4"/>
        <v>Form factor</v>
      </c>
      <c r="D178" s="331" t="s">
        <v>401</v>
      </c>
      <c r="E178" s="331" t="s">
        <v>784</v>
      </c>
      <c r="F178" s="333" t="s">
        <v>785</v>
      </c>
      <c r="G178" s="331" t="s">
        <v>786</v>
      </c>
      <c r="H178" s="331" t="s">
        <v>787</v>
      </c>
      <c r="I178" s="331" t="s">
        <v>788</v>
      </c>
      <c r="R178" s="331"/>
      <c r="S178">
        <f t="shared" si="5"/>
        <v>1111</v>
      </c>
    </row>
    <row r="179" spans="1:19" ht="30" customHeight="1" x14ac:dyDescent="0.2">
      <c r="A179" s="2">
        <v>179</v>
      </c>
      <c r="B179" s="331" t="str">
        <f t="shared" si="4"/>
        <v>Coefficient in accordance with EN 1995-1-1, 6.1.5</v>
      </c>
      <c r="D179" s="331" t="s">
        <v>411</v>
      </c>
      <c r="E179" s="331" t="s">
        <v>1026</v>
      </c>
      <c r="F179" s="333" t="s">
        <v>1027</v>
      </c>
      <c r="G179" s="331" t="s">
        <v>1028</v>
      </c>
      <c r="H179" s="331" t="s">
        <v>1029</v>
      </c>
      <c r="I179" s="331" t="s">
        <v>1030</v>
      </c>
      <c r="R179" s="331"/>
      <c r="S179">
        <f t="shared" si="5"/>
        <v>1111</v>
      </c>
    </row>
    <row r="180" spans="1:19" ht="30" customHeight="1" x14ac:dyDescent="0.2">
      <c r="A180" s="2">
        <v>180</v>
      </c>
      <c r="B180" s="331" t="str">
        <f t="shared" si="4"/>
        <v>Coefficient in accordance with EN 1995-1-1, eq. 6.62</v>
      </c>
      <c r="D180" s="331" t="s">
        <v>410</v>
      </c>
      <c r="E180" s="331" t="s">
        <v>1031</v>
      </c>
      <c r="F180" s="333" t="s">
        <v>1032</v>
      </c>
      <c r="G180" s="331" t="s">
        <v>1033</v>
      </c>
      <c r="H180" s="331" t="s">
        <v>1034</v>
      </c>
      <c r="I180" s="331" t="s">
        <v>1035</v>
      </c>
      <c r="R180" s="331"/>
      <c r="S180">
        <f t="shared" si="5"/>
        <v>1111</v>
      </c>
    </row>
    <row r="181" spans="1:19" ht="30" customHeight="1" x14ac:dyDescent="0.2">
      <c r="A181" s="2">
        <v>181</v>
      </c>
      <c r="B181" s="331" t="str">
        <f t="shared" si="4"/>
        <v>Characteristic strenght</v>
      </c>
      <c r="D181" s="331" t="s">
        <v>278</v>
      </c>
      <c r="E181" s="331" t="s">
        <v>994</v>
      </c>
      <c r="F181" s="333" t="s">
        <v>995</v>
      </c>
      <c r="G181" s="331" t="s">
        <v>996</v>
      </c>
      <c r="H181" s="331" t="s">
        <v>997</v>
      </c>
      <c r="I181" s="331" t="s">
        <v>998</v>
      </c>
      <c r="R181" s="331"/>
      <c r="S181">
        <f t="shared" si="5"/>
        <v>1111</v>
      </c>
    </row>
    <row r="182" spans="1:19" ht="30" customHeight="1" x14ac:dyDescent="0.2">
      <c r="A182" s="2">
        <v>182</v>
      </c>
      <c r="B182" s="331" t="str">
        <f t="shared" si="4"/>
        <v>Design strength</v>
      </c>
      <c r="D182" s="331" t="s">
        <v>277</v>
      </c>
      <c r="E182" s="331" t="s">
        <v>999</v>
      </c>
      <c r="F182" s="333" t="s">
        <v>1189</v>
      </c>
      <c r="G182" s="331" t="s">
        <v>1000</v>
      </c>
      <c r="H182" s="331" t="s">
        <v>1001</v>
      </c>
      <c r="I182" s="331" t="s">
        <v>1002</v>
      </c>
      <c r="R182" s="331"/>
      <c r="S182">
        <f t="shared" si="5"/>
        <v>1111</v>
      </c>
    </row>
    <row r="183" spans="1:19" ht="30" customHeight="1" x14ac:dyDescent="0.2">
      <c r="A183" s="2">
        <v>183</v>
      </c>
      <c r="B183" s="331" t="str">
        <f t="shared" si="4"/>
        <v>Verification of connection</v>
      </c>
      <c r="D183" s="331" t="s">
        <v>336</v>
      </c>
      <c r="E183" s="331" t="s">
        <v>1003</v>
      </c>
      <c r="F183" s="333" t="s">
        <v>1004</v>
      </c>
      <c r="G183" s="331" t="s">
        <v>1005</v>
      </c>
      <c r="H183" s="331" t="s">
        <v>1006</v>
      </c>
      <c r="I183" s="331" t="s">
        <v>1007</v>
      </c>
      <c r="R183" s="331"/>
      <c r="S183">
        <f t="shared" si="5"/>
        <v>1111</v>
      </c>
    </row>
    <row r="184" spans="1:19" ht="30" customHeight="1" x14ac:dyDescent="0.2">
      <c r="A184" s="2">
        <v>184</v>
      </c>
      <c r="B184" s="331" t="str">
        <f t="shared" si="4"/>
        <v>7. Design checks in the case of combined loading</v>
      </c>
      <c r="D184" s="331" t="s">
        <v>445</v>
      </c>
      <c r="E184" s="331" t="s">
        <v>1036</v>
      </c>
      <c r="F184" s="333" t="s">
        <v>1194</v>
      </c>
      <c r="G184" s="331" t="s">
        <v>1037</v>
      </c>
      <c r="H184" s="331" t="s">
        <v>1228</v>
      </c>
      <c r="I184" s="331" t="s">
        <v>1248</v>
      </c>
      <c r="R184" s="331"/>
      <c r="S184">
        <f t="shared" si="5"/>
        <v>1111</v>
      </c>
    </row>
    <row r="185" spans="1:19" ht="30" customHeight="1" x14ac:dyDescent="0.2">
      <c r="A185" s="2">
        <v>185</v>
      </c>
      <c r="B185" s="331" t="str">
        <f t="shared" si="4"/>
        <v>Combined loading check required?</v>
      </c>
      <c r="D185" s="331" t="s">
        <v>446</v>
      </c>
      <c r="E185" s="331" t="s">
        <v>1038</v>
      </c>
      <c r="F185" s="333" t="s">
        <v>1195</v>
      </c>
      <c r="G185" s="331" t="s">
        <v>1039</v>
      </c>
      <c r="H185" s="331" t="s">
        <v>1229</v>
      </c>
      <c r="I185" s="331" t="s">
        <v>1249</v>
      </c>
      <c r="R185" s="331"/>
      <c r="S185">
        <f t="shared" si="5"/>
        <v>1111</v>
      </c>
    </row>
    <row r="186" spans="1:19" ht="30" customHeight="1" x14ac:dyDescent="0.2">
      <c r="A186" s="2">
        <v>186</v>
      </c>
      <c r="B186" s="331" t="str">
        <f t="shared" si="4"/>
        <v>Vertical shear</v>
      </c>
      <c r="D186" s="331" t="s">
        <v>447</v>
      </c>
      <c r="E186" s="331" t="s">
        <v>1040</v>
      </c>
      <c r="F186" s="333" t="s">
        <v>1041</v>
      </c>
      <c r="G186" s="331" t="s">
        <v>1042</v>
      </c>
      <c r="H186" s="331" t="s">
        <v>1043</v>
      </c>
      <c r="I186" s="331" t="s">
        <v>1043</v>
      </c>
      <c r="R186" s="331"/>
      <c r="S186">
        <f t="shared" si="5"/>
        <v>1111</v>
      </c>
    </row>
    <row r="187" spans="1:19" ht="30" customHeight="1" x14ac:dyDescent="0.2">
      <c r="A187" s="2">
        <v>187</v>
      </c>
      <c r="B187" s="331" t="str">
        <f t="shared" si="4"/>
        <v>vertical Lifting shear</v>
      </c>
      <c r="D187" s="331" t="s">
        <v>448</v>
      </c>
      <c r="E187" s="331" t="s">
        <v>1044</v>
      </c>
      <c r="F187" s="333" t="s">
        <v>1169</v>
      </c>
      <c r="G187" s="331" t="s">
        <v>1045</v>
      </c>
      <c r="H187" s="331" t="s">
        <v>1046</v>
      </c>
      <c r="I187" s="331" t="s">
        <v>1047</v>
      </c>
      <c r="R187" s="331"/>
      <c r="S187">
        <f t="shared" si="5"/>
        <v>1111</v>
      </c>
    </row>
    <row r="188" spans="1:19" ht="30" customHeight="1" x14ac:dyDescent="0.2">
      <c r="A188" s="2">
        <v>188</v>
      </c>
      <c r="B188" s="331" t="str">
        <f t="shared" si="4"/>
        <v>Axial action</v>
      </c>
      <c r="D188" s="331" t="s">
        <v>264</v>
      </c>
      <c r="E188" s="331" t="s">
        <v>658</v>
      </c>
      <c r="F188" s="333" t="s">
        <v>1048</v>
      </c>
      <c r="G188" s="331" t="s">
        <v>659</v>
      </c>
      <c r="H188" s="331" t="s">
        <v>660</v>
      </c>
      <c r="I188" s="331" t="s">
        <v>661</v>
      </c>
      <c r="R188" s="331"/>
      <c r="S188">
        <f t="shared" si="5"/>
        <v>1111</v>
      </c>
    </row>
    <row r="189" spans="1:19" ht="30" customHeight="1" x14ac:dyDescent="0.2">
      <c r="A189" s="2">
        <v>189</v>
      </c>
      <c r="B189" s="331" t="str">
        <f t="shared" si="4"/>
        <v>Lateral shear</v>
      </c>
      <c r="D189" s="331" t="s">
        <v>449</v>
      </c>
      <c r="E189" s="331" t="s">
        <v>1049</v>
      </c>
      <c r="F189" s="333" t="s">
        <v>1050</v>
      </c>
      <c r="G189" s="331" t="s">
        <v>1051</v>
      </c>
      <c r="H189" s="331" t="s">
        <v>1052</v>
      </c>
      <c r="I189" s="331" t="s">
        <v>1052</v>
      </c>
      <c r="R189" s="331"/>
      <c r="S189">
        <f t="shared" si="5"/>
        <v>1111</v>
      </c>
    </row>
    <row r="190" spans="1:19" ht="75" customHeight="1" x14ac:dyDescent="0.2">
      <c r="A190" s="2">
        <v>190</v>
      </c>
      <c r="B190" s="331" t="str">
        <f t="shared" si="4"/>
        <v>Fv,d and Fup,d  are forces acting in opposite directions. Therefore only one of the forces Fv,d and Fup,d can act in combination with the forces Fax,d or Flat,d.</v>
      </c>
      <c r="D190" s="331" t="s">
        <v>479</v>
      </c>
      <c r="E190" s="331" t="s">
        <v>1053</v>
      </c>
      <c r="F190" s="333" t="s">
        <v>1054</v>
      </c>
      <c r="G190" s="331" t="s">
        <v>1055</v>
      </c>
      <c r="H190" s="331" t="s">
        <v>1230</v>
      </c>
      <c r="I190" s="331" t="s">
        <v>1056</v>
      </c>
      <c r="R190" s="331"/>
      <c r="S190">
        <f t="shared" si="5"/>
        <v>1111</v>
      </c>
    </row>
    <row r="191" spans="1:19" ht="52.5" customHeight="1" x14ac:dyDescent="0.2">
      <c r="A191" s="2">
        <v>191</v>
      </c>
      <c r="B191" s="331" t="str">
        <f t="shared" si="4"/>
        <v>Select the stresses to be considered in the combined check.</v>
      </c>
      <c r="D191" s="331" t="s">
        <v>1276</v>
      </c>
      <c r="E191" s="331" t="s">
        <v>1057</v>
      </c>
      <c r="F191" s="333" t="s">
        <v>1196</v>
      </c>
      <c r="G191" s="331" t="s">
        <v>1058</v>
      </c>
      <c r="H191" s="331" t="s">
        <v>1231</v>
      </c>
      <c r="I191" s="331" t="s">
        <v>1250</v>
      </c>
      <c r="R191" s="331"/>
      <c r="S191">
        <f t="shared" si="5"/>
        <v>1111</v>
      </c>
    </row>
    <row r="192" spans="1:19" ht="30" customHeight="1" x14ac:dyDescent="0.2">
      <c r="A192" s="2">
        <v>192</v>
      </c>
      <c r="B192" s="331" t="str">
        <f t="shared" si="4"/>
        <v>8. Quantity and product codes summary</v>
      </c>
      <c r="D192" s="331" t="s">
        <v>514</v>
      </c>
      <c r="E192" s="331" t="s">
        <v>1059</v>
      </c>
      <c r="F192" s="333" t="s">
        <v>1197</v>
      </c>
      <c r="G192" s="331" t="s">
        <v>1060</v>
      </c>
      <c r="H192" s="331" t="s">
        <v>1217</v>
      </c>
      <c r="I192" s="331" t="s">
        <v>1061</v>
      </c>
      <c r="R192" s="331"/>
      <c r="S192">
        <f t="shared" si="5"/>
        <v>1111</v>
      </c>
    </row>
    <row r="193" spans="1:19" ht="30" customHeight="1" x14ac:dyDescent="0.2">
      <c r="A193" s="2">
        <v>193</v>
      </c>
      <c r="B193" s="331" t="str">
        <f t="shared" si="4"/>
        <v>Number of connections</v>
      </c>
      <c r="D193" s="331" t="s">
        <v>504</v>
      </c>
      <c r="E193" s="331" t="s">
        <v>1062</v>
      </c>
      <c r="F193" s="333" t="s">
        <v>1063</v>
      </c>
      <c r="G193" s="331" t="s">
        <v>1064</v>
      </c>
      <c r="H193" s="331" t="s">
        <v>1065</v>
      </c>
      <c r="I193" s="331" t="s">
        <v>1066</v>
      </c>
      <c r="R193" s="331"/>
      <c r="S193">
        <f t="shared" si="5"/>
        <v>1111</v>
      </c>
    </row>
    <row r="194" spans="1:19" ht="30" customHeight="1" x14ac:dyDescent="0.2">
      <c r="A194" s="2">
        <v>194</v>
      </c>
      <c r="B194" s="331" t="str">
        <f t="shared" si="4"/>
        <v>Code</v>
      </c>
      <c r="D194" s="331" t="s">
        <v>505</v>
      </c>
      <c r="E194" s="331" t="s">
        <v>1067</v>
      </c>
      <c r="F194" s="333" t="s">
        <v>1068</v>
      </c>
      <c r="G194" s="331" t="s">
        <v>1067</v>
      </c>
      <c r="H194" s="331" t="s">
        <v>1069</v>
      </c>
      <c r="I194" s="331" t="s">
        <v>1069</v>
      </c>
      <c r="R194" s="331"/>
      <c r="S194">
        <f t="shared" si="5"/>
        <v>1111</v>
      </c>
    </row>
    <row r="195" spans="1:19" ht="30" customHeight="1" x14ac:dyDescent="0.2">
      <c r="A195" s="2">
        <v>195</v>
      </c>
      <c r="B195" s="331" t="str">
        <f t="shared" ref="B195:B206" si="6">HLOOKUP($B$1,$D$1:$I$206,A195,FALSE)</f>
        <v>Quantity required</v>
      </c>
      <c r="D195" s="331" t="s">
        <v>511</v>
      </c>
      <c r="E195" s="331" t="s">
        <v>1070</v>
      </c>
      <c r="F195" s="333" t="s">
        <v>1198</v>
      </c>
      <c r="G195" s="331" t="s">
        <v>1071</v>
      </c>
      <c r="H195" s="331" t="s">
        <v>1072</v>
      </c>
      <c r="I195" s="331" t="s">
        <v>1073</v>
      </c>
      <c r="R195" s="331"/>
      <c r="S195">
        <f t="shared" ref="S195:S210" si="7">IF(R195=G195,0,1111)</f>
        <v>1111</v>
      </c>
    </row>
    <row r="196" spans="1:19" ht="30" customHeight="1" x14ac:dyDescent="0.2">
      <c r="A196" s="2">
        <v>196</v>
      </c>
      <c r="B196" s="331" t="str">
        <f t="shared" si="6"/>
        <v>pcs</v>
      </c>
      <c r="D196" s="331" t="s">
        <v>512</v>
      </c>
      <c r="E196" s="331" t="s">
        <v>1074</v>
      </c>
      <c r="F196" s="333" t="s">
        <v>1075</v>
      </c>
      <c r="G196" s="331" t="s">
        <v>1076</v>
      </c>
      <c r="H196" s="331" t="s">
        <v>1077</v>
      </c>
      <c r="I196" s="331" t="s">
        <v>1078</v>
      </c>
      <c r="R196" s="331"/>
      <c r="S196">
        <f t="shared" si="7"/>
        <v>1111</v>
      </c>
    </row>
    <row r="197" spans="1:19" ht="30" customHeight="1" x14ac:dyDescent="0.2">
      <c r="A197" s="2">
        <v>197</v>
      </c>
      <c r="B197" s="331" t="str">
        <f t="shared" si="6"/>
        <v>Coupling hidden fastener</v>
      </c>
      <c r="D197" s="331" t="s">
        <v>507</v>
      </c>
      <c r="E197" s="331" t="s">
        <v>1079</v>
      </c>
      <c r="F197" s="333" t="s">
        <v>1080</v>
      </c>
      <c r="G197" s="331" t="s">
        <v>1081</v>
      </c>
      <c r="H197" s="331" t="s">
        <v>1082</v>
      </c>
      <c r="I197" s="331" t="s">
        <v>1083</v>
      </c>
      <c r="R197" s="331"/>
      <c r="S197">
        <f t="shared" si="7"/>
        <v>1111</v>
      </c>
    </row>
    <row r="198" spans="1:19" ht="30" customHeight="1" x14ac:dyDescent="0.2">
      <c r="A198" s="2">
        <v>198</v>
      </c>
      <c r="B198" s="331" t="str">
        <f t="shared" si="6"/>
        <v>Second concealed connector, if coupling connectors</v>
      </c>
      <c r="D198" s="331" t="s">
        <v>508</v>
      </c>
      <c r="E198" s="331" t="s">
        <v>1084</v>
      </c>
      <c r="F198" s="333" t="s">
        <v>1199</v>
      </c>
      <c r="G198" s="331" t="s">
        <v>1085</v>
      </c>
      <c r="H198" s="331" t="s">
        <v>1086</v>
      </c>
      <c r="I198" s="331" t="s">
        <v>1087</v>
      </c>
      <c r="R198" s="331"/>
      <c r="S198">
        <f t="shared" si="7"/>
        <v>1111</v>
      </c>
    </row>
    <row r="199" spans="1:19" ht="30" customHeight="1" x14ac:dyDescent="0.2">
      <c r="A199" s="2">
        <v>199</v>
      </c>
      <c r="B199" s="331" t="str">
        <f t="shared" si="6"/>
        <v>Fastening screws main element</v>
      </c>
      <c r="D199" s="331" t="s">
        <v>503</v>
      </c>
      <c r="E199" s="331" t="s">
        <v>806</v>
      </c>
      <c r="F199" s="333" t="s">
        <v>807</v>
      </c>
      <c r="G199" s="331" t="s">
        <v>808</v>
      </c>
      <c r="H199" s="331" t="s">
        <v>809</v>
      </c>
      <c r="I199" s="331" t="s">
        <v>810</v>
      </c>
      <c r="R199" s="331"/>
      <c r="S199">
        <f t="shared" si="7"/>
        <v>1111</v>
      </c>
    </row>
    <row r="200" spans="1:19" ht="30" customHeight="1" x14ac:dyDescent="0.2">
      <c r="A200" s="2">
        <v>200</v>
      </c>
      <c r="B200" s="331" t="str">
        <f t="shared" si="6"/>
        <v>Fastening screws secondary beam</v>
      </c>
      <c r="D200" s="331" t="s">
        <v>276</v>
      </c>
      <c r="E200" s="331" t="s">
        <v>855</v>
      </c>
      <c r="F200" s="333" t="s">
        <v>856</v>
      </c>
      <c r="G200" s="331" t="s">
        <v>857</v>
      </c>
      <c r="H200" s="331" t="s">
        <v>858</v>
      </c>
      <c r="I200" s="331" t="s">
        <v>859</v>
      </c>
      <c r="R200" s="331"/>
      <c r="S200">
        <f t="shared" si="7"/>
        <v>1111</v>
      </c>
    </row>
    <row r="201" spans="1:19" ht="30" customHeight="1" x14ac:dyDescent="0.2">
      <c r="A201" s="2">
        <v>201</v>
      </c>
      <c r="B201" s="331" t="str">
        <f t="shared" si="6"/>
        <v>Inclined screws for lifting and/or lateral resistance</v>
      </c>
      <c r="D201" s="331" t="s">
        <v>395</v>
      </c>
      <c r="E201" s="331" t="s">
        <v>880</v>
      </c>
      <c r="F201" s="333" t="s">
        <v>1150</v>
      </c>
      <c r="G201" s="331" t="s">
        <v>881</v>
      </c>
      <c r="H201" s="331" t="s">
        <v>882</v>
      </c>
      <c r="I201" s="331" t="s">
        <v>883</v>
      </c>
      <c r="R201" s="331"/>
      <c r="S201">
        <f t="shared" si="7"/>
        <v>1111</v>
      </c>
    </row>
    <row r="202" spans="1:19" ht="30" customHeight="1" x14ac:dyDescent="0.2">
      <c r="A202" s="2">
        <v>202</v>
      </c>
      <c r="B202" s="331" t="str">
        <f t="shared" si="6"/>
        <v>LOCK STOP connector</v>
      </c>
      <c r="D202" s="331" t="s">
        <v>509</v>
      </c>
      <c r="E202" s="331" t="s">
        <v>1088</v>
      </c>
      <c r="F202" s="333" t="s">
        <v>1089</v>
      </c>
      <c r="G202" s="331" t="s">
        <v>1090</v>
      </c>
      <c r="H202" s="331" t="s">
        <v>1091</v>
      </c>
      <c r="I202" s="331" t="s">
        <v>1091</v>
      </c>
      <c r="R202" s="331"/>
      <c r="S202">
        <f t="shared" si="7"/>
        <v>1111</v>
      </c>
    </row>
    <row r="203" spans="1:19" ht="408.95" customHeight="1" x14ac:dyDescent="0.2">
      <c r="A203" s="2">
        <v>203</v>
      </c>
      <c r="B203" s="331" t="str">
        <f t="shared" si="6"/>
        <v>Rotho Blaas carried out the checks according to the Limit State method in accordance with EC 1995-1-1 Eurocode 5 - Design of timber structures. For the mechanical strength values and the geometry of the LOCK and LOCK STOP connector, reference was made to ETA-19/0831. For the mechanical resistance values and the geometry of the screws, reference was made to ETA-11/0030.
Static values were calculated assuming a constant thickness of the metal element, including the thickness of the LOCK STOP.
The Fup strength with inclined screw was calculated considering the effective number for axially loaded screws according to ETA-11/0030.
Special care must be taken in the execution of cutting the rebate in the main element or secondary beam to limit the lateral sliding of the connection.
The Flat strength with inclined screw was calculated considering the effective number of screws arranged parallel to the fibre according to EN 1995-1-1.
If coupled connectors are used, special care must be taken in alignment during installation to avoid different stresses in the two connectors.
The connector must always be fully fastened using all the holes.
Fastening with partial nailing is not allowed. Screws with the same length must be used for each connector half.
In the case of grooving in the main element or in the secondary beam, particular care must be taken when carrying out the grooving in order to limit the lateral sliding of the connection.
Dimensioning and verification of the timber elements must be carried out separately. 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v>
      </c>
      <c r="D203" s="331" t="s">
        <v>1092</v>
      </c>
      <c r="E203" s="331" t="s">
        <v>1093</v>
      </c>
      <c r="F203" s="333" t="s">
        <v>1200</v>
      </c>
      <c r="G203" s="331" t="s">
        <v>1094</v>
      </c>
      <c r="H203" s="331" t="s">
        <v>1232</v>
      </c>
      <c r="I203" s="331" t="s">
        <v>1251</v>
      </c>
      <c r="R203" s="331"/>
      <c r="S203">
        <f t="shared" si="7"/>
        <v>1111</v>
      </c>
    </row>
    <row r="204" spans="1:19" ht="100.5" customHeight="1" x14ac:dyDescent="0.2">
      <c r="A204" s="2">
        <v>204</v>
      </c>
      <c r="B204" s="331" t="str">
        <f t="shared" si="6"/>
        <v>This information on the verification sheet is intended to be an indication. Nevertheless, the responsibility for the connection project lies entirely with the designer.</v>
      </c>
      <c r="D204" s="331" t="s">
        <v>521</v>
      </c>
      <c r="E204" s="331" t="s">
        <v>1095</v>
      </c>
      <c r="F204" s="333" t="s">
        <v>1096</v>
      </c>
      <c r="G204" s="331" t="s">
        <v>1262</v>
      </c>
      <c r="H204" s="331" t="s">
        <v>1097</v>
      </c>
      <c r="I204" s="331" t="s">
        <v>1098</v>
      </c>
      <c r="R204" s="331"/>
      <c r="S204">
        <f t="shared" si="7"/>
        <v>1111</v>
      </c>
    </row>
    <row r="205" spans="1:19" ht="67.5" customHeight="1" x14ac:dyDescent="0.2">
      <c r="A205" s="2">
        <v>205</v>
      </c>
      <c r="B205" s="331" t="str">
        <f t="shared" si="6"/>
        <v>The design of the wooden elements is to be carried out separately by the structural designer.</v>
      </c>
      <c r="D205" s="331" t="s">
        <v>522</v>
      </c>
      <c r="E205" s="331" t="s">
        <v>1099</v>
      </c>
      <c r="F205" s="333" t="s">
        <v>1100</v>
      </c>
      <c r="G205" s="331" t="s">
        <v>1101</v>
      </c>
      <c r="H205" s="331" t="s">
        <v>1233</v>
      </c>
      <c r="I205" s="331" t="s">
        <v>1102</v>
      </c>
      <c r="R205" s="331"/>
      <c r="S205">
        <f t="shared" si="7"/>
        <v>1111</v>
      </c>
    </row>
    <row r="206" spans="1:19" ht="409.5" customHeight="1" x14ac:dyDescent="0.2">
      <c r="A206" s="2">
        <v>206</v>
      </c>
      <c r="B206" s="331" t="str">
        <f t="shared" si="6"/>
        <v>As specified in the General Terms and conditions accepted by the user when downloading the spreadsheet:the results obtained with this calculation tool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v>
      </c>
      <c r="D206" s="331" t="s">
        <v>523</v>
      </c>
      <c r="E206" s="331" t="s">
        <v>1103</v>
      </c>
      <c r="F206" s="333" t="s">
        <v>1173</v>
      </c>
      <c r="G206" s="331" t="s">
        <v>1104</v>
      </c>
      <c r="H206" s="331" t="s">
        <v>1218</v>
      </c>
      <c r="I206" s="331" t="s">
        <v>1105</v>
      </c>
      <c r="R206" s="331"/>
      <c r="S206">
        <f t="shared" si="7"/>
        <v>1111</v>
      </c>
    </row>
    <row r="207" spans="1:19" ht="39.75" customHeight="1" x14ac:dyDescent="0.2">
      <c r="A207" s="2">
        <v>207</v>
      </c>
      <c r="B207" s="331" t="str">
        <f>HLOOKUP($B$1,$D$1:$I$207,A207,FALSE)</f>
        <v>!! element too small for the selected connector !!</v>
      </c>
      <c r="D207" s="331" t="s">
        <v>487</v>
      </c>
      <c r="E207" s="331" t="s">
        <v>1107</v>
      </c>
      <c r="F207" s="333" t="s">
        <v>1108</v>
      </c>
      <c r="G207" s="331" t="s">
        <v>1109</v>
      </c>
      <c r="H207" s="331" t="s">
        <v>1110</v>
      </c>
      <c r="I207" s="331" t="s">
        <v>1111</v>
      </c>
      <c r="R207" s="331"/>
      <c r="S207">
        <f t="shared" si="7"/>
        <v>1111</v>
      </c>
    </row>
    <row r="208" spans="1:19" ht="30" customHeight="1" x14ac:dyDescent="0.2">
      <c r="A208" s="2">
        <v>208</v>
      </c>
      <c r="B208" s="331" t="str">
        <f>HLOOKUP($B$1,$D$1:$I$209,A208,FALSE)</f>
        <v>VERIFIED</v>
      </c>
      <c r="D208" s="331" t="s">
        <v>1112</v>
      </c>
      <c r="E208" s="331" t="s">
        <v>1115</v>
      </c>
      <c r="F208" s="333" t="s">
        <v>1115</v>
      </c>
      <c r="G208" s="331" t="s">
        <v>1263</v>
      </c>
      <c r="H208" s="331" t="s">
        <v>1114</v>
      </c>
      <c r="I208" s="331" t="s">
        <v>1114</v>
      </c>
      <c r="R208" s="335"/>
      <c r="S208">
        <f t="shared" si="7"/>
        <v>1111</v>
      </c>
    </row>
    <row r="209" spans="1:19" ht="30" customHeight="1" x14ac:dyDescent="0.2">
      <c r="A209" s="2">
        <v>209</v>
      </c>
      <c r="B209" s="331" t="str">
        <f>HLOOKUP($B$1,$D$1:$I$210,A209,FALSE)</f>
        <v>NOT VERIFIED</v>
      </c>
      <c r="D209" s="331" t="s">
        <v>1113</v>
      </c>
      <c r="E209" s="331" t="s">
        <v>1116</v>
      </c>
      <c r="F209" s="333" t="s">
        <v>1117</v>
      </c>
      <c r="G209" s="331" t="s">
        <v>1118</v>
      </c>
      <c r="H209" s="331" t="s">
        <v>1119</v>
      </c>
      <c r="I209" s="331" t="s">
        <v>1120</v>
      </c>
      <c r="R209" s="331"/>
      <c r="S209">
        <f t="shared" si="7"/>
        <v>1111</v>
      </c>
    </row>
    <row r="210" spans="1:19" ht="30" customHeight="1" x14ac:dyDescent="0.2">
      <c r="A210" s="2">
        <v>210</v>
      </c>
      <c r="B210" s="331" t="str">
        <f>HLOOKUP($B$1,$D$1:$I$210,A210,FALSE)</f>
        <v>Milling for connector housing Sf=20 mm</v>
      </c>
      <c r="D210" s="331" t="s">
        <v>1332</v>
      </c>
      <c r="E210" s="331" t="s">
        <v>1333</v>
      </c>
      <c r="F210" s="333" t="s">
        <v>1334</v>
      </c>
      <c r="G210" s="331" t="s">
        <v>1335</v>
      </c>
      <c r="H210" s="331" t="s">
        <v>1336</v>
      </c>
      <c r="I210" s="331" t="s">
        <v>1337</v>
      </c>
      <c r="S210">
        <f t="shared" si="7"/>
        <v>1111</v>
      </c>
    </row>
  </sheetData>
  <sheetProtection algorithmName="SHA-512" hashValue="a0L0ZwU/VXhHKdeE+UDfDVecD13sNF9vq4NvLBa5zXSmvZETcnOwqvcDw8+AP+K8uHZ9X1Insa74TEL0rWweow==" saltValue="RcTUYNFuKrba+i4FGp5O5g=="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5DBE-D5F7-4681-A60D-6A1CF341A4AD}">
  <sheetPr codeName="Foglio5">
    <tabColor rgb="FFF9ADAD"/>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5">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0.4*R6*(L6-G6)*K6+MIN(0.4*R6*(L6-G6)*K6,IF(H6="CLT",1,IF(Q6&lt;&gt;90,1,5/6))*MIN(O6,Y6)/4)</f>
        <v>2685.8368882999985</v>
      </c>
      <c r="AA6" s="46">
        <f>1.15*SQRT(2*N6*R6*K6)+MIN(1.15*SQRT(2*N6*R6*K6),IF(H6="CLT",1,IF(Q6&lt;&gt;90,1,5/6))*MIN(O6,Y6)/4)</f>
        <v>2635.0339533471933</v>
      </c>
      <c r="AB6" s="46">
        <f>MIN(Z6,AA6)</f>
        <v>2635.0339533471933</v>
      </c>
      <c r="AC6" s="46">
        <f>J6*AB6</f>
        <v>15810.20372008316</v>
      </c>
      <c r="AD6" s="42" t="str">
        <f>'LOCK-T'!H71</f>
        <v>GL24h</v>
      </c>
      <c r="AE6" s="42" t="str">
        <f>'LOCK-T'!I111</f>
        <v>LBS Ø 7 x 80</v>
      </c>
      <c r="AF6" s="43">
        <f>VLOOKUP(VLOOKUP(B6,Data!$AA$4:$AD$24,4,FALSE),Data!$I$4:$S$15,5,FALSE)*E6</f>
        <v>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6452.3944654384795</v>
      </c>
      <c r="AV6" s="46">
        <f>0.4*AO6*(AI6-G6)*AH6+MIN(AU6,AL6)/4</f>
        <v>5212.4650423775392</v>
      </c>
      <c r="AW6" s="46">
        <f>1.15*SQRT(2*AK6*AO6*AH6)+MIN(1.15*SQRT(2*AK6*AO6*AH6),MIN(AL6,AU6)/4)</f>
        <v>3762.81248044831</v>
      </c>
      <c r="AX6" s="46">
        <f>MIN(AV6,AW6)</f>
        <v>3762.81248044831</v>
      </c>
      <c r="AY6" s="46">
        <f>AF6*AX6</f>
        <v>22576.874882689859</v>
      </c>
      <c r="AZ6" s="44">
        <f>VLOOKUP(VLOOKUP(B6,Data!$AA$4:$AD$24,4,FALSE),Data!$I$4:$S$15,8,FALSE)*E6</f>
        <v>10.6</v>
      </c>
      <c r="BA6" s="46">
        <f>1/SQRT((1/AY6)^2+(1/(AZ6*AU6))^2)</f>
        <v>21439.050200614751</v>
      </c>
      <c r="BB6" s="46">
        <f>VLOOKUP(VLOOKUP(B6,Data!$AA$4:$AD$24,4,FALSE),Data!$I$4:$S$15,9,FALSE)*1000*E6</f>
        <v>30000</v>
      </c>
      <c r="BC6" s="47">
        <f>MIN(AC6,BA6,BB6)/1000</f>
        <v>15.810203720083161</v>
      </c>
    </row>
    <row r="7" spans="2:55" ht="14.25" x14ac:dyDescent="0.2">
      <c r="R7" s="144"/>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251</v>
      </c>
      <c r="AF16" s="180"/>
    </row>
  </sheetData>
  <sheetProtection algorithmName="SHA-512" hashValue="cvY9Tyoo6bbMk+Df+Uehq7b3M/NW/9ptFGPgXwfOUANyPleIhj/nk97WCKXC6/N/mH5pH41mvrSaLFjhfOXH9g==" saltValue="Ja1CHbgcfPcYGeVcCK7ylg=="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D67D491-78BB-43A9-92DA-FF6D266F1A31}">
          <x14:formula1>
            <xm:f>Data!$W$3:$W$12</xm:f>
          </x14:formula1>
          <xm:sqref>E6</xm:sqref>
        </x14:dataValidation>
        <x14:dataValidation type="list" allowBlank="1" showInputMessage="1" showErrorMessage="1" xr:uid="{38E7444E-908F-4B7A-AEE9-CBE0899D08E1}">
          <x14:formula1>
            <xm:f>Screws!$C$6:$C$29</xm:f>
          </x14:formula1>
          <xm:sqref>I6 AE6</xm:sqref>
        </x14:dataValidation>
        <x14:dataValidation type="list" allowBlank="1" showInputMessage="1" showErrorMessage="1" xr:uid="{6CD352EC-929A-4642-ABEB-B97391980E61}">
          <x14:formula1>
            <xm:f>Data!$B$4:$B$34</xm:f>
          </x14:formula1>
          <xm:sqref>H6 AD6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E52D-65F8-46F1-B5B4-005AD92D54FA}">
  <sheetPr codeName="Foglio6">
    <tabColor rgb="FF00B050"/>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5">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269">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0.4*R6*(L6-G6)*K6+MIN(0.4*R6*(L6-G6)*K6,IF(H6="CLT",1,IF(Q6&lt;&gt;90,1,5/6))*MIN(O6,Y6)/4)</f>
        <v>2649.0446021589028</v>
      </c>
      <c r="AA6" s="46">
        <f>1.15*SQRT(2*N6*R6*K6)+MIN(1.15*SQRT(2*N6*R6*K6),IF(H6="CLT",1,IF(Q6&lt;&gt;90,1,5/6))*MIN(O6,Y6)/4)</f>
        <v>2617.1958117017621</v>
      </c>
      <c r="AB6" s="46">
        <f>MIN(Z6,AA6)</f>
        <v>2617.1958117017621</v>
      </c>
      <c r="AC6" s="46">
        <f>J6*AB6</f>
        <v>94219.049221263442</v>
      </c>
      <c r="AD6" s="42" t="str">
        <f>'LOCK-T'!H71</f>
        <v>GL24h</v>
      </c>
      <c r="AE6" s="42" t="str">
        <f>'LOCK-T'!H111</f>
        <v>LBS Ø 7 x 80</v>
      </c>
      <c r="AF6" s="43">
        <f>VLOOKUP(VLOOKUP(B6,Data!$AA$4:$AD$24,4,FALSE),Data!$I$4:$S$15,5,FALSE)*E6</f>
        <v>36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6364.0055001584997</v>
      </c>
      <c r="AV6" s="46">
        <f>0.4*AO6*(AI6-G6)*AH6+MIN(AU6,AL6)/4</f>
        <v>5141.0614116600382</v>
      </c>
      <c r="AW6" s="46">
        <f>1.15*SQRT(2*AK6*AO6*AH6)+MIN(1.15*SQRT(2*AK6*AO6*AH6),MIN(AL6,AU6)/4)</f>
        <v>3740.7152391283153</v>
      </c>
      <c r="AX6" s="46">
        <f>MIN(AV6,AW6)</f>
        <v>3740.7152391283153</v>
      </c>
      <c r="AY6" s="46">
        <f>AF6*AX6</f>
        <v>134665.74860861935</v>
      </c>
      <c r="AZ6" s="44">
        <f>VLOOKUP(VLOOKUP(B6,Data!$AA$4:$AD$24,4,FALSE),Data!$I$4:$S$15,8,FALSE)*E6</f>
        <v>144</v>
      </c>
      <c r="BA6" s="46">
        <f>1/SQRT((1/AY6)^2+(1/(AZ6*AU6))^2)</f>
        <v>133234.91046445054</v>
      </c>
      <c r="BB6" s="46">
        <f>VLOOKUP(VLOOKUP(B6,Data!$AA$4:$AD$24,4,FALSE),Data!$I$4:$S$15,9,FALSE)*1000*E6</f>
        <v>96000</v>
      </c>
      <c r="BC6" s="47">
        <f>MIN(AC6,BA6,BB6)/1000</f>
        <v>94.219049221263447</v>
      </c>
    </row>
    <row r="7" spans="2:55" ht="14.25" x14ac:dyDescent="0.2">
      <c r="R7" s="144"/>
    </row>
    <row r="8" spans="2:55" x14ac:dyDescent="0.2">
      <c r="Y8" t="e" cm="1">
        <f t="array" ref="Y8">kax*faxk*d*lef*(rok/(IF(H6="LVL",500,350)))^(0.8)/kb</f>
        <v>#NAME?</v>
      </c>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475</v>
      </c>
      <c r="AF16" s="180"/>
    </row>
  </sheetData>
  <sheetProtection algorithmName="SHA-512" hashValue="RVbLbFITJtJ7UlTjG0c7buPR9QBuQ8IsobkuDjKdodfNXWhkgSKTeW/L5MOdI1HUABvNLqzARbCMD9Lnhieuow==" saltValue="wkiWRf9v9ZtyK8ZanLerrw=="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307F58B-E99E-4581-8674-7DED1C441E92}">
          <x14:formula1>
            <xm:f>Data!$B$4:$B$34</xm:f>
          </x14:formula1>
          <xm:sqref>H6 AD6</xm:sqref>
        </x14:dataValidation>
        <x14:dataValidation type="list" allowBlank="1" showInputMessage="1" showErrorMessage="1" xr:uid="{162B00E7-4DF8-403B-9BA5-0B73893DD04F}">
          <x14:formula1>
            <xm:f>Screws!$C$6:$C$29</xm:f>
          </x14:formula1>
          <xm:sqref>I6 AE6</xm:sqref>
        </x14:dataValidation>
        <x14:dataValidation type="list" allowBlank="1" showInputMessage="1" showErrorMessage="1" xr:uid="{737D0F86-C049-412C-9840-8C8CD0C3C5FD}">
          <x14:formula1>
            <xm:f>Data!$W$3:$W$12</xm:f>
          </x14:formula1>
          <xm:sqref>E6</xm:sqref>
        </x14:dataValidation>
        <x14:dataValidation type="list" allowBlank="1" showInputMessage="1" showErrorMessage="1" xr:uid="{1E54949E-FD50-42DE-82F1-35BB5F2B9C22}">
          <x14:formula1>
            <xm:f>Data!$I$4:$I$12</xm:f>
          </x14:formula1>
          <xm:sqref>B6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2617-7CCA-468D-BD88-99DC3BB4C2EE}">
  <sheetPr codeName="Foglio7">
    <tabColor rgb="FF00B050"/>
  </sheetPr>
  <dimension ref="C2:BP118"/>
  <sheetViews>
    <sheetView showGridLines="0" topLeftCell="AC1" zoomScale="85" zoomScaleNormal="85"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 min="65" max="65" width="24.375" bestFit="1" customWidth="1"/>
    <col min="66" max="66" width="22" bestFit="1" customWidth="1"/>
  </cols>
  <sheetData>
    <row r="2" spans="3:68"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8" ht="13.5" thickBot="1" x14ac:dyDescent="0.25"/>
    <row r="4" spans="3:68"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8"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169</v>
      </c>
      <c r="AP5" s="28" t="s">
        <v>170</v>
      </c>
      <c r="AQ5" s="28" t="s">
        <v>171</v>
      </c>
      <c r="AR5" s="109" t="s">
        <v>175</v>
      </c>
      <c r="AS5" s="109" t="s">
        <v>176</v>
      </c>
      <c r="AT5" s="109" t="s">
        <v>177</v>
      </c>
      <c r="AU5" s="109" t="s">
        <v>227</v>
      </c>
      <c r="AV5" s="109" t="s">
        <v>227</v>
      </c>
      <c r="AW5" s="136"/>
      <c r="AX5" s="136"/>
      <c r="BE5" s="143"/>
      <c r="BF5" s="143"/>
      <c r="BG5" s="143"/>
      <c r="BH5" s="143"/>
      <c r="BI5" s="143"/>
    </row>
    <row r="6" spans="3:68"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320">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(nef*AC6)/SQRT(1+(((nef*AC6)/(klat*Z6))^2))</f>
        <v>54657.65540723499</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45">
        <f>G6</f>
        <v>100</v>
      </c>
      <c r="AP6" s="45">
        <f>'LOCK-T'!H70</f>
        <v>400</v>
      </c>
      <c r="AQ6" s="45">
        <f>VLOOKUP(AG6,Data!$B$2:$F$36,5,FALSE)</f>
        <v>1.2</v>
      </c>
      <c r="AR6" s="46">
        <f>AK6*AN6</f>
        <v>46680</v>
      </c>
      <c r="AS6" s="46">
        <f>AM6*AL6*AN6</f>
        <v>4862.5</v>
      </c>
      <c r="AT6" s="46">
        <f>((AP6-AO6)*D6*AQ6)/2</f>
        <v>52200</v>
      </c>
      <c r="AU6" s="47">
        <f>MIN(AF8,AR6)/1000</f>
        <v>46.68</v>
      </c>
      <c r="AV6" s="47">
        <f>MIN(AF8,AS6,AT6)/1000</f>
        <v>4.8624999999999998</v>
      </c>
      <c r="AW6" s="137"/>
      <c r="AX6" s="137"/>
      <c r="BG6" s="159" t="s">
        <v>227</v>
      </c>
      <c r="BH6" s="347" t="s">
        <v>1329</v>
      </c>
      <c r="BO6" t="s">
        <v>407</v>
      </c>
      <c r="BP6" t="s">
        <v>408</v>
      </c>
    </row>
    <row r="7" spans="3:68" ht="46.5" thickBot="1" x14ac:dyDescent="0.25">
      <c r="Z7" s="120" t="s">
        <v>242</v>
      </c>
      <c r="AF7" s="109" t="s">
        <v>172</v>
      </c>
      <c r="AI7" s="53" t="s">
        <v>98</v>
      </c>
      <c r="AJ7" s="53" t="s">
        <v>103</v>
      </c>
      <c r="BD7" s="99" t="str">
        <f>Translation!B7</f>
        <v>Notch in main beam</v>
      </c>
      <c r="BE7" s="99" t="s">
        <v>179</v>
      </c>
      <c r="BF7" s="138" t="s">
        <v>222</v>
      </c>
      <c r="BG7" s="160">
        <f>AU6</f>
        <v>46.68</v>
      </c>
      <c r="BH7" s="348">
        <f>(BG7*'LOCK-T'!$H$47)/'LOCK-T'!$H$50</f>
        <v>28.726153846153846</v>
      </c>
      <c r="BM7" s="99" t="str">
        <f>Translation!B7</f>
        <v>Notch in main beam</v>
      </c>
      <c r="BN7" s="99" t="s">
        <v>179</v>
      </c>
      <c r="BO7">
        <f>IF('LOCK-T'!H99=1,nef,secondo_Lateral!AD12)</f>
        <v>20.9</v>
      </c>
      <c r="BP7" s="76">
        <f>IF('LOCK-T'!H99=1,klat,secondo_Lateral!AE12)</f>
        <v>227</v>
      </c>
    </row>
    <row r="8" spans="3:68"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(nef*AC6)/SQRT(1+(((nef*AC6)/(klat*Z8))^2))</f>
        <v>54240.944686366136</v>
      </c>
      <c r="AI8" s="43">
        <f>VLOOKUP(AH6,Screws!$C$6:$J$34,3,FALSE)</f>
        <v>7</v>
      </c>
      <c r="AJ8" s="43">
        <f>VLOOKUP(AG6,Data!$B$4:$C$36,2,FALSE)</f>
        <v>385</v>
      </c>
      <c r="BD8" s="99" t="str">
        <f>Translation!B6</f>
        <v>Notch in column</v>
      </c>
      <c r="BE8" s="99" t="s">
        <v>180</v>
      </c>
      <c r="BF8" s="138" t="s">
        <v>223</v>
      </c>
      <c r="BG8" s="160">
        <f>AV6</f>
        <v>4.8624999999999998</v>
      </c>
      <c r="BH8" s="348">
        <f>(BG8*'LOCK-T'!$H$47)/'LOCK-T'!$H$50</f>
        <v>2.9923076923076923</v>
      </c>
      <c r="BM8" s="99" t="str">
        <f>Translation!B6</f>
        <v>Notch in column</v>
      </c>
      <c r="BN8" s="99" t="s">
        <v>180</v>
      </c>
      <c r="BO8">
        <f>IF('LOCK-T'!H99=1,nef,secondo_Lateral!AD12)</f>
        <v>20.9</v>
      </c>
      <c r="BP8" s="76">
        <f>IF('LOCK-T'!H99=1,klat,secondo_Lateral!AE12)</f>
        <v>227</v>
      </c>
    </row>
    <row r="9" spans="3:68" ht="14.25" x14ac:dyDescent="0.2">
      <c r="BD9" s="99" t="str">
        <f>Translation!B8</f>
        <v>Notch in secondary beam</v>
      </c>
      <c r="BE9" s="99" t="s">
        <v>181</v>
      </c>
      <c r="BF9" s="138" t="s">
        <v>224</v>
      </c>
      <c r="BG9" s="160">
        <f>AZ32</f>
        <v>9.7249999999999996</v>
      </c>
      <c r="BH9" s="348">
        <f>(BG9*'LOCK-T'!$H$47)/'LOCK-T'!$H$50</f>
        <v>5.9846153846153847</v>
      </c>
      <c r="BM9" s="99" t="str">
        <f>Translation!B8</f>
        <v>Notch in secondary beam</v>
      </c>
      <c r="BN9" s="99" t="s">
        <v>181</v>
      </c>
      <c r="BO9" s="76">
        <f>IF('LOCK-T'!H99=1,AD32,secondo_Lateral!AD38)</f>
        <v>20.9</v>
      </c>
      <c r="BP9" s="76">
        <f>IF('LOCK-T'!H99=1,AE32,secondo_Lateral!AE38)</f>
        <v>227</v>
      </c>
    </row>
    <row r="10" spans="3:68" ht="14.25" x14ac:dyDescent="0.2">
      <c r="BD10" s="99" t="str">
        <f>Translation!B9</f>
        <v>Inclined screws</v>
      </c>
      <c r="BE10" s="99" t="s">
        <v>215</v>
      </c>
      <c r="BF10" s="138" t="s">
        <v>225</v>
      </c>
      <c r="BG10" s="160">
        <f>BF83</f>
        <v>4.856590093446794</v>
      </c>
      <c r="BH10" s="348">
        <f>(BG10*'LOCK-T'!$H$47)/'LOCK-T'!$H$50</f>
        <v>2.9886708267364885</v>
      </c>
      <c r="BM10" s="99" t="str">
        <f>Translation!B9</f>
        <v>Inclined screws</v>
      </c>
      <c r="BN10" s="99" t="s">
        <v>215</v>
      </c>
      <c r="BO10" s="76">
        <f>IF('LOCK-T'!H99=1,AD83,secondo_Lateral!AD89)</f>
        <v>8.8000000000000007</v>
      </c>
      <c r="BP10" s="76">
        <f>IF('LOCK-T'!H99=1,AE83,secondo_Lateral!AE89)</f>
        <v>53</v>
      </c>
    </row>
    <row r="11" spans="3:68" ht="14.25" x14ac:dyDescent="0.2">
      <c r="I11" s="441" t="s">
        <v>250</v>
      </c>
      <c r="J11" s="441"/>
      <c r="K11" s="441"/>
      <c r="L11" s="441"/>
      <c r="AD11" s="76"/>
      <c r="AG11" s="441" t="s">
        <v>250</v>
      </c>
      <c r="AH11" s="441"/>
      <c r="AI11" s="441"/>
      <c r="AJ11" s="441"/>
      <c r="BD11" s="99" t="s">
        <v>214</v>
      </c>
      <c r="BE11" s="99" t="s">
        <v>214</v>
      </c>
      <c r="BF11" s="138" t="s">
        <v>226</v>
      </c>
      <c r="BG11" s="160">
        <f>BG107</f>
        <v>1.554</v>
      </c>
      <c r="BH11" s="349">
        <f>BG11/'LOCK-T'!H51</f>
        <v>1.2432000000000001</v>
      </c>
      <c r="BM11" s="99" t="s">
        <v>214</v>
      </c>
      <c r="BN11" s="99" t="s">
        <v>214</v>
      </c>
      <c r="BO11" s="76">
        <f>IF('LOCK-T'!H99=1,AD107,secondo_Lateral!AD113)</f>
        <v>12.6</v>
      </c>
      <c r="BP11" s="76">
        <f>IF('LOCK-T'!H99=1,AE107,secondo_Lateral!AE113)</f>
        <v>61</v>
      </c>
    </row>
    <row r="12" spans="3:68" ht="29.25" thickBot="1" x14ac:dyDescent="0.25">
      <c r="J12" t="s">
        <v>249</v>
      </c>
      <c r="K12" t="s">
        <v>248</v>
      </c>
      <c r="M12" s="53" t="s">
        <v>110</v>
      </c>
      <c r="AA12">
        <f>0.4*S6*(M6-H6)*L6</f>
        <v>1364.6984036878471</v>
      </c>
      <c r="AB12" t="s">
        <v>524</v>
      </c>
      <c r="AH12" t="s">
        <v>249</v>
      </c>
      <c r="AI12" t="s">
        <v>248</v>
      </c>
      <c r="AK12" s="53" t="s">
        <v>110</v>
      </c>
    </row>
    <row r="13" spans="3:68" ht="14.25" x14ac:dyDescent="0.2">
      <c r="I13" t="s">
        <v>247</v>
      </c>
      <c r="J13">
        <f>0.082*Q6*L6^(-0.3)/((2.5*COS(RADIANS(M13))^2+SIN(RADIANS(M13))^2))</f>
        <v>6.7693373198801936</v>
      </c>
      <c r="K13">
        <f>0.082*Q6*(1-0.01*L6)/((2.5*COS(RADIANS(M13))^2+SIN(RADIANS(M13))^2))</f>
        <v>11.286479999999999</v>
      </c>
      <c r="M13" s="43">
        <f>ABS('LOCK-T'!H86)</f>
        <v>0</v>
      </c>
      <c r="AA13">
        <f>+MIN(0.4*S6*(M6-H6)*L6,MIN(P6,Z6)/4)</f>
        <v>1364.6984036878471</v>
      </c>
      <c r="AG13" t="s">
        <v>247</v>
      </c>
      <c r="AH13">
        <f>0.082*AJ8*AI8^(-0.3)/((2.5*COS(RADIANS(AK13))^2+SIN(RADIANS(AK13))^2))</f>
        <v>17.609424784823478</v>
      </c>
      <c r="AI13">
        <f>0.082*AJ8*(1-0.01*AI8)/((2.5*COS(RADIANS(AK13))^2+SIN(RADIANS(AK13))^2))</f>
        <v>29.360099999999999</v>
      </c>
      <c r="AK13" s="43">
        <v>90</v>
      </c>
      <c r="BH13" s="350"/>
    </row>
    <row r="14" spans="3:68" x14ac:dyDescent="0.2">
      <c r="AA14">
        <f>AA12+AA13</f>
        <v>2729.3968073756942</v>
      </c>
    </row>
    <row r="15" spans="3:68" x14ac:dyDescent="0.2">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A17">
        <f>IF(I6="CLT",1,IF(M13=0,5/6,1))</f>
        <v>0.83333333333333337</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(AD32*AC32)/SQRT(1+(((AD32*AC32)/(AE32*Z32))^2))</f>
        <v>78066.711360667439</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130">
        <f>G32</f>
        <v>100</v>
      </c>
      <c r="AP32" s="130">
        <f>'LOCK-T'!H83</f>
        <v>240</v>
      </c>
      <c r="AQ32" s="130">
        <f>VLOOKUP(AG32,Data!$B$2:$F$36,5,FALSE)</f>
        <v>1.2</v>
      </c>
      <c r="AR32" s="131">
        <f>2*AM32*AL32*AN32</f>
        <v>9725</v>
      </c>
      <c r="AS32" s="127">
        <f>VLOOKUP(AG32,Data!$B$2:$G$36,6,FALSE)</f>
        <v>3.5</v>
      </c>
      <c r="AT32" s="134">
        <f>(0.5*(AP32-AO32))/AP32</f>
        <v>0.29166666666666669</v>
      </c>
      <c r="AU32" s="133">
        <f>VLOOKUP(AG32,$BD$34:$BE$72,2,FALSE)</f>
        <v>6.5</v>
      </c>
      <c r="AV32" s="133">
        <v>20</v>
      </c>
      <c r="AW32" s="133">
        <v>0</v>
      </c>
      <c r="AX32" s="134">
        <f>MIN(AU32*(1+1.1*AW32^1.5/SQRT(AP32))/(SQRT(AP32)*(SQRT(AT32*(1-AT32))+0.8*(AV32/AP32)*SQRT(1/AT32-AT32^2))),1)</f>
        <v>0.72788065211624708</v>
      </c>
      <c r="AY32" s="131">
        <f>(AX32*AS32*D32*(AP32-AO32))/3</f>
        <v>34477.280221906236</v>
      </c>
      <c r="AZ32" s="132">
        <f>MIN(AF32,AR32,AY32)/1000</f>
        <v>9.7249999999999996</v>
      </c>
    </row>
    <row r="33" spans="9:62" ht="51.95" customHeight="1" thickBot="1" x14ac:dyDescent="0.25">
      <c r="BH33" s="138"/>
      <c r="BI33" s="139"/>
      <c r="BJ33" s="140"/>
    </row>
    <row r="34" spans="9:62" ht="18" customHeight="1" x14ac:dyDescent="0.2">
      <c r="BD34" s="445" t="s">
        <v>45</v>
      </c>
      <c r="BE34" s="447" t="s">
        <v>191</v>
      </c>
      <c r="BH34" s="138"/>
      <c r="BI34" s="139"/>
      <c r="BJ34" s="140"/>
    </row>
    <row r="35" spans="9:62" ht="13.5" thickBot="1" x14ac:dyDescent="0.25">
      <c r="T35" s="2"/>
      <c r="BD35" s="446"/>
      <c r="BE35" s="448"/>
      <c r="BH35" s="138"/>
      <c r="BI35" s="29"/>
      <c r="BJ35" s="140"/>
    </row>
    <row r="36" spans="9:62" x14ac:dyDescent="0.2">
      <c r="BD36" s="1" t="s">
        <v>55</v>
      </c>
      <c r="BE36" s="76">
        <v>6.5</v>
      </c>
      <c r="BH36" s="74"/>
      <c r="BI36" s="3"/>
      <c r="BJ36" s="140"/>
    </row>
    <row r="37" spans="9:62" x14ac:dyDescent="0.2">
      <c r="I37" s="441" t="s">
        <v>250</v>
      </c>
      <c r="J37" s="441"/>
      <c r="K37" s="441"/>
      <c r="L37" s="441"/>
      <c r="AP37" s="125"/>
      <c r="BD37" s="1" t="s">
        <v>57</v>
      </c>
      <c r="BE37" s="76">
        <v>6.5</v>
      </c>
      <c r="BH37" s="74"/>
      <c r="BI37" s="3"/>
      <c r="BJ37" s="75"/>
    </row>
    <row r="38" spans="9:62" ht="29.25" thickBot="1" x14ac:dyDescent="0.25">
      <c r="J38" t="s">
        <v>249</v>
      </c>
      <c r="K38" t="s">
        <v>248</v>
      </c>
      <c r="M38" s="53" t="s">
        <v>110</v>
      </c>
      <c r="BD38" s="1" t="s">
        <v>1</v>
      </c>
      <c r="BE38" s="76">
        <v>6.5</v>
      </c>
      <c r="BH38" s="74"/>
      <c r="BI38" s="3"/>
      <c r="BJ38" s="75"/>
    </row>
    <row r="39" spans="9: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9:62" x14ac:dyDescent="0.2">
      <c r="BD40" s="1" t="s">
        <v>62</v>
      </c>
      <c r="BE40" s="76">
        <v>6.5</v>
      </c>
    </row>
    <row r="41" spans="9:62" x14ac:dyDescent="0.2">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9:62" x14ac:dyDescent="0.2">
      <c r="BD42" s="1" t="s">
        <v>66</v>
      </c>
      <c r="BE42" s="76">
        <v>6.5</v>
      </c>
    </row>
    <row r="43" spans="9:62" x14ac:dyDescent="0.2">
      <c r="I43" t="s">
        <v>6</v>
      </c>
      <c r="J43" s="180">
        <f>IF(M39=0,20*L32^(-0.5),0.082*$Q$32*$L$32^(-0.3)/((2.5*COS(RADIANS($M$39))^2+SIN(RADIANS($M$39))^2)))</f>
        <v>17.609424784823478</v>
      </c>
      <c r="BD43" s="1"/>
      <c r="BE43" s="76"/>
    </row>
    <row r="44" spans="9:62" x14ac:dyDescent="0.2">
      <c r="BD44" s="1" t="s">
        <v>68</v>
      </c>
      <c r="BE44" s="76">
        <v>6.5</v>
      </c>
    </row>
    <row r="45" spans="9:62" x14ac:dyDescent="0.2">
      <c r="BD45" s="1" t="s">
        <v>70</v>
      </c>
      <c r="BE45" s="76">
        <v>6.5</v>
      </c>
    </row>
    <row r="46" spans="9:62" x14ac:dyDescent="0.2">
      <c r="BD46" s="1" t="s">
        <v>71</v>
      </c>
      <c r="BE46" s="76">
        <v>6.5</v>
      </c>
    </row>
    <row r="47" spans="9:62" x14ac:dyDescent="0.2">
      <c r="BD47" s="1" t="s">
        <v>72</v>
      </c>
      <c r="BE47" s="76">
        <v>6.5</v>
      </c>
    </row>
    <row r="48" spans="9: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195</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AI83*BB83</f>
        <v>4856.5900934467936</v>
      </c>
      <c r="BD83" s="45">
        <f>VLOOKUP(VLOOKUP(C83,Data!$AA$4:$AD$24,4,FALSE),Data!$Q$85:$R$96,2,FALSE)</f>
        <v>12</v>
      </c>
      <c r="BE83" s="46"/>
      <c r="BF83" s="47">
        <f>IF(AH83='LOCK-T'!AB165,,MIN(AF85,BC83)/1000)</f>
        <v>4.856590093446794</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14.25" x14ac:dyDescent="0.2">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(AD83*AC83)/SQRT(1+(((AD83*AC83)/(AE83*Z85))^2))</f>
        <v>22420.742270933624</v>
      </c>
      <c r="AQ85" t="s">
        <v>235</v>
      </c>
      <c r="BJ85" t="s">
        <v>385</v>
      </c>
      <c r="BK85">
        <v>1</v>
      </c>
      <c r="BL85">
        <v>1</v>
      </c>
    </row>
    <row r="86" spans="3:64" x14ac:dyDescent="0.2">
      <c r="AX86" s="177" t="s">
        <v>243</v>
      </c>
      <c r="BJ86" t="s">
        <v>382</v>
      </c>
      <c r="BK86">
        <v>0.85</v>
      </c>
      <c r="BL86">
        <v>0.85</v>
      </c>
    </row>
    <row r="87" spans="3:64" x14ac:dyDescent="0.2">
      <c r="BJ87" t="s">
        <v>383</v>
      </c>
      <c r="BK87">
        <v>0.7</v>
      </c>
      <c r="BL87">
        <v>0.7</v>
      </c>
    </row>
    <row r="88" spans="3:64" ht="15" x14ac:dyDescent="0.2">
      <c r="I88" s="441" t="s">
        <v>250</v>
      </c>
      <c r="J88" s="441"/>
      <c r="K88" s="441"/>
      <c r="L88" s="441"/>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J89" t="s">
        <v>249</v>
      </c>
      <c r="K89" t="s">
        <v>248</v>
      </c>
      <c r="M89" s="53" t="s">
        <v>110</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14.25" x14ac:dyDescent="0.2">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(BB107*BA107)/SQRT(1+(((BB107*BA107)/(BC107*AX107))^2))</f>
        <v>46789.410171889809</v>
      </c>
      <c r="BE107" s="46" t="str">
        <f>'LOCK-T'!H138</f>
        <v>2 x LOCKSTOP100</v>
      </c>
      <c r="BF107" s="44">
        <f>VLOOKUP(VLOOKUP(BE107,Data!BA4:BB16,2,FALSE),Data!$I$133:$L$141,4,FALSE)*VLOOKUP(BE107,Data!BA4:BC16,3,FALSE)</f>
        <v>1554</v>
      </c>
      <c r="BG107" s="47">
        <f>MIN(AF107,BD107,BF107)/1000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ABS('LOCK-T'!H86)</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(AD107*AC107)/SQRT(1+(((AD107*AC107)/(AE107*Z109))^2))</f>
        <v>31652.186512610326</v>
      </c>
    </row>
    <row r="112" spans="3:59" x14ac:dyDescent="0.2">
      <c r="I112" s="441" t="s">
        <v>250</v>
      </c>
      <c r="J112" s="441"/>
      <c r="K112" s="441"/>
      <c r="L112" s="441"/>
      <c r="AG112" s="441" t="s">
        <v>250</v>
      </c>
      <c r="AH112" s="441"/>
      <c r="AI112" s="441"/>
      <c r="AJ112" s="441"/>
    </row>
    <row r="113" spans="9:37" ht="29.25" thickBot="1" x14ac:dyDescent="0.25">
      <c r="J113" t="s">
        <v>249</v>
      </c>
      <c r="K113" t="s">
        <v>248</v>
      </c>
      <c r="M113" s="53" t="s">
        <v>110</v>
      </c>
      <c r="AH113" t="s">
        <v>249</v>
      </c>
      <c r="AI113" t="s">
        <v>248</v>
      </c>
      <c r="AK113" s="53" t="s">
        <v>110</v>
      </c>
    </row>
    <row r="114" spans="9:37"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6" spans="9:37" x14ac:dyDescent="0.2">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9:37"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ESiZBpMY0mEwj0MLVF5+tQeV106La6HZSkngPQbd0zlRdDavlSyDCf+SzoDYUU2xl2AtRe3MPaAvrf84PtM2qA==" saltValue="q0bi7nkvEUfpU2oADH/YOQ==" spinCount="100000" sheet="1" objects="1" scenarios="1" selectLockedCells="1"/>
  <mergeCells count="23">
    <mergeCell ref="BE34:BE35"/>
    <mergeCell ref="I37:L37"/>
    <mergeCell ref="BE105:BF105"/>
    <mergeCell ref="C105:H105"/>
    <mergeCell ref="AG105:BD105"/>
    <mergeCell ref="I105:AF105"/>
    <mergeCell ref="I88:L88"/>
    <mergeCell ref="AG88:AJ88"/>
    <mergeCell ref="I112:L112"/>
    <mergeCell ref="AG112:AJ112"/>
    <mergeCell ref="AG30:AY30"/>
    <mergeCell ref="C2:F2"/>
    <mergeCell ref="C4:H4"/>
    <mergeCell ref="I4:AF4"/>
    <mergeCell ref="AG4:AR4"/>
    <mergeCell ref="C30:H30"/>
    <mergeCell ref="I30:AF30"/>
    <mergeCell ref="I11:L11"/>
    <mergeCell ref="AG11:AJ11"/>
    <mergeCell ref="C81:H81"/>
    <mergeCell ref="I81:AF81"/>
    <mergeCell ref="AG81:BD81"/>
    <mergeCell ref="BD34:BD35"/>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55474235-F0CB-4F61-BE0D-9CBBAB9155F5}">
          <x14:formula1>
            <xm:f>Data!$I$4:$I$12</xm:f>
          </x14:formula1>
          <xm:sqref>C6 C32 C83</xm:sqref>
        </x14:dataValidation>
        <x14:dataValidation type="list" allowBlank="1" showInputMessage="1" showErrorMessage="1" xr:uid="{BC141DE6-92E2-450A-8E8B-B08E47A1C6C3}">
          <x14:formula1>
            <xm:f>Data!$W$3:$W$12</xm:f>
          </x14:formula1>
          <xm:sqref>F6 F32 F83 F107</xm:sqref>
        </x14:dataValidation>
        <x14:dataValidation type="list" allowBlank="1" showInputMessage="1" showErrorMessage="1" xr:uid="{A158D799-5390-4312-A524-8C5125211278}">
          <x14:formula1>
            <xm:f>Screws!$C$6:$C$29</xm:f>
          </x14:formula1>
          <xm:sqref>J6 AH6 J32 AH32 J83 AH83</xm:sqref>
        </x14:dataValidation>
        <x14:dataValidation type="list" allowBlank="1" showInputMessage="1" showErrorMessage="1" xr:uid="{9A362B0C-10B4-4427-B013-108BA35207FB}">
          <x14:formula1>
            <xm:f>Data!$B$4:$B$34</xm:f>
          </x14:formula1>
          <xm:sqref>I6 AG6 I32 AG32 I83 AG83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71a907e-b217-416b-8f3e-9f31b26bbae2">
      <Terms xmlns="http://schemas.microsoft.com/office/infopath/2007/PartnerControls"/>
    </lcf76f155ced4ddcb4097134ff3c332f>
    <TaxCatchAll xmlns="4ac9669e-3ecc-4027-9c07-5729b88496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5791BAE553E54299A2D7AB66547121" ma:contentTypeVersion="16" ma:contentTypeDescription="Create a new document." ma:contentTypeScope="" ma:versionID="d97370cc2e4de72d0a646453750c17ea">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6fa3a286fde44bd167b069caa5f08291"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1191EB-6A54-4585-858E-089B64916200}">
  <ds:schemaRefs>
    <ds:schemaRef ds:uri="http://schemas.microsoft.com/sharepoint/v3/contenttype/forms"/>
  </ds:schemaRefs>
</ds:datastoreItem>
</file>

<file path=customXml/itemProps2.xml><?xml version="1.0" encoding="utf-8"?>
<ds:datastoreItem xmlns:ds="http://schemas.openxmlformats.org/officeDocument/2006/customXml" ds:itemID="{DED1AF96-3D1E-4814-9A31-E6F8EDE17A11}">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f71a907e-b217-416b-8f3e-9f31b26bbae2"/>
    <ds:schemaRef ds:uri="4ac9669e-3ecc-4027-9c07-5729b88496eb"/>
    <ds:schemaRef ds:uri="http://www.w3.org/XML/1998/namespace"/>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E485ED05-15B7-407B-A8D7-08E48FB7A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c9669e-3ecc-4027-9c07-5729b88496eb"/>
    <ds:schemaRef ds:uri="f71a907e-b217-416b-8f3e-9f31b26bb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7</vt:i4>
      </vt:variant>
    </vt:vector>
  </HeadingPairs>
  <TitlesOfParts>
    <vt:vector size="21" baseType="lpstr">
      <vt:lpstr>CONDITIONS</vt:lpstr>
      <vt:lpstr>LOCK-T</vt:lpstr>
      <vt:lpstr>Screws</vt:lpstr>
      <vt:lpstr>Data</vt:lpstr>
      <vt:lpstr>Foglio2</vt:lpstr>
      <vt:lpstr>Translation</vt:lpstr>
      <vt:lpstr>secondo_V_downward</vt:lpstr>
      <vt:lpstr>V_downward</vt:lpstr>
      <vt:lpstr>Lateral</vt:lpstr>
      <vt:lpstr>secondo_Lateral</vt:lpstr>
      <vt:lpstr>Uplift</vt:lpstr>
      <vt:lpstr>secondo_Uplift</vt:lpstr>
      <vt:lpstr>Axial</vt:lpstr>
      <vt:lpstr>secondo_Axial</vt:lpstr>
      <vt:lpstr>Data!Area_stampa</vt:lpstr>
      <vt:lpstr>'LOCK-T'!Area_stampa</vt:lpstr>
      <vt:lpstr>Screws!Area_stampa</vt:lpstr>
      <vt:lpstr>secondo_Lateral!klat</vt:lpstr>
      <vt:lpstr>klat</vt:lpstr>
      <vt:lpstr>secondo_Lateral!nef</vt:lpstr>
      <vt:lpstr>nef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 Greco</dc:creator>
  <cp:keywords/>
  <dc:description/>
  <cp:lastModifiedBy>Marco Greco</cp:lastModifiedBy>
  <cp:revision/>
  <cp:lastPrinted>2023-02-15T16:32:37Z</cp:lastPrinted>
  <dcterms:created xsi:type="dcterms:W3CDTF">2019-12-05T08:58:48Z</dcterms:created>
  <dcterms:modified xsi:type="dcterms:W3CDTF">2024-07-08T11:51:16Z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Person">
    <vt:lpwstr/>
  </property>
  <property fmtid="{D5CDD505-2E9C-101B-9397-08002B2CF9AE}" pid="4" name="MediaServiceImageTags">
    <vt:lpwstr/>
  </property>
</Properties>
</file>