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F8F23DBF-8395-41F4-B409-7D3C8C657772}"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<sst xmlns="http://schemas.openxmlformats.org/spreadsheetml/2006/main" count="3364" uniqueCount="1373">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</sst>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hidden="1">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hidden="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hidden="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hidden="1">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Entaille poutre principale</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Entaille colonne</v>
      </c>
      <c r="BE8" s="99" t="s">
        <v>180</v>
      </c>
      <c r="BF8" s="138" t="s">
        <v>223</v>
      </c>
      <c r="BG8" s="160">
        <f>AV6</f>
        <v>4.8624999999999998</v>
      </c>
      <c r="BH8" s="348">
        <f>(BG8*'LOCK-T'!$H$47)/'LOCK-T'!$H$50</f>
        <v>2.9923076923076923</v>
      </c>
    </row>
    <row r="9" spans="3:61" ht="14.25" x14ac:dyDescent="0.2">
      <c r="BD9" s="99" t="str">
        <f>Translation!B8</f>
        <v>Entaille poutre secondaire</v>
      </c>
      <c r="BE9" s="99" t="s">
        <v>181</v>
      </c>
      <c r="BF9" s="138" t="s">
        <v>224</v>
      </c>
      <c r="BG9" s="160">
        <f>AZ32</f>
        <v>9.7249999999999996</v>
      </c>
      <c r="BH9" s="348">
        <f>(BG9*'LOCK-T'!$H$47)/'LOCK-T'!$H$50</f>
        <v>5.9846153846153847</v>
      </c>
    </row>
    <row r="10" spans="3:61" ht="14.25" x14ac:dyDescent="0.2">
      <c r="BD10" s="99" t="str">
        <f>Translation!B9</f>
        <v>Vis inclinées</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M34" sqref="M34:M35"/>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POURCENTAGE D'UTILISATION DE LA CONNEXION</v>
      </c>
      <c r="F2" s="403"/>
      <c r="G2" s="403"/>
      <c r="H2" s="403"/>
      <c r="I2" s="403"/>
      <c r="J2" s="403"/>
      <c r="K2" s="403"/>
      <c r="L2" s="403"/>
      <c r="M2" s="403"/>
      <c r="N2" s="272"/>
    </row>
    <row r="3" spans="4:14" ht="20.100000000000001" customHeight="1" x14ac:dyDescent="0.2">
      <c r="D3" s="273"/>
      <c r="E3" s="274" t="str">
        <f>Translation!B18</f>
        <v>6.1 Cisaillement verticale (Fv)</v>
      </c>
      <c r="F3" s="406">
        <f>H185</f>
        <v>6.8988172282819782E-2</v>
      </c>
      <c r="G3" s="406"/>
      <c r="H3" s="406"/>
      <c r="I3" s="274" t="str">
        <f>Translation!B21</f>
        <v>6.3 Axiale (Fax)</v>
      </c>
      <c r="J3" s="406">
        <f>H216</f>
        <v>0.24162477490924331</v>
      </c>
      <c r="K3" s="406"/>
      <c r="L3" s="406"/>
      <c r="M3" s="406"/>
      <c r="N3" s="276"/>
    </row>
    <row r="4" spans="4:14" ht="20.100000000000001" customHeight="1" x14ac:dyDescent="0.2">
      <c r="D4" s="273"/>
      <c r="E4" s="274" t="str">
        <f>Translation!B19</f>
        <v>6.2 Cisaillement de soulèvement (Fup)</v>
      </c>
      <c r="F4" s="406">
        <f>IF(H141="NO","-",H204)</f>
        <v>0.22468978795883335</v>
      </c>
      <c r="G4" s="406"/>
      <c r="H4" s="406"/>
      <c r="I4" s="274" t="str">
        <f>Translation!B22</f>
        <v>6.4 Cisaillement latéral (Flat)</v>
      </c>
      <c r="J4" s="406">
        <f>H229</f>
        <v>3.4811482433590404E-2</v>
      </c>
      <c r="K4" s="406"/>
      <c r="L4" s="406"/>
      <c r="M4" s="406"/>
      <c r="N4" s="276"/>
    </row>
    <row r="5" spans="4:14" ht="20.100000000000001" customHeight="1" x14ac:dyDescent="0.2">
      <c r="D5" s="273"/>
      <c r="E5" s="274" t="str">
        <f>Translation!B20</f>
        <v>7. Sollicitation combinée</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CALCUL CONNECTEUR À ACCROCHE CACHÉ BOIS - BOIS LOCK-T</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Informations générales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Date</v>
      </c>
      <c r="F34" s="396">
        <f ca="1">TODAY()</f>
        <v>45481</v>
      </c>
      <c r="G34" s="396"/>
      <c r="H34" s="396"/>
      <c r="I34" s="238"/>
      <c r="L34" s="407"/>
      <c r="M34" s="401" t="s">
        <v>517</v>
      </c>
      <c r="N34" s="184"/>
    </row>
    <row r="35" spans="4:24" ht="20.100000000000001" customHeight="1" x14ac:dyDescent="0.2">
      <c r="D35" s="183"/>
      <c r="E35" s="197" t="str">
        <f>Translation!B26</f>
        <v>Technico commerciale RothoBlaas</v>
      </c>
      <c r="F35" s="397" t="s">
        <v>486</v>
      </c>
      <c r="G35" s="398"/>
      <c r="H35" s="399"/>
      <c r="I35" s="238"/>
      <c r="L35" s="408"/>
      <c r="M35" s="402"/>
      <c r="N35" s="184"/>
    </row>
    <row r="36" spans="4:24" ht="20.100000000000001" customHeight="1" x14ac:dyDescent="0.2">
      <c r="D36" s="183"/>
      <c r="E36" s="197" t="str">
        <f>Translation!B27</f>
        <v>Projet</v>
      </c>
      <c r="F36" s="397" t="s">
        <v>486</v>
      </c>
      <c r="G36" s="398"/>
      <c r="H36" s="399"/>
      <c r="I36" s="236"/>
      <c r="N36" s="184"/>
    </row>
    <row r="37" spans="4:24" ht="20.100000000000001" customHeight="1" x14ac:dyDescent="0.2">
      <c r="D37" s="183"/>
      <c r="E37" s="197" t="str">
        <f>Translation!B28</f>
        <v>Concepteur</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Norme de calcul</v>
      </c>
      <c r="F39" s="397" t="s">
        <v>338</v>
      </c>
      <c r="G39" s="398"/>
      <c r="H39" s="399"/>
      <c r="I39" s="236"/>
      <c r="L39" s="324"/>
      <c r="M39" s="322"/>
      <c r="N39" s="184"/>
    </row>
    <row r="40" spans="4:24" ht="20.100000000000001" customHeight="1" x14ac:dyDescent="0.2">
      <c r="D40" s="183"/>
      <c r="E40" s="197" t="str">
        <f>Translation!B30</f>
        <v>Assemblage n°</v>
      </c>
      <c r="F40" s="397" t="s">
        <v>486</v>
      </c>
      <c r="G40" s="398"/>
      <c r="H40" s="399"/>
      <c r="I40" s="236"/>
      <c r="N40" s="184"/>
    </row>
    <row r="41" spans="4:24" ht="60" customHeight="1" x14ac:dyDescent="0.2">
      <c r="D41" s="183"/>
      <c r="E41" s="197" t="str">
        <f>Translation!B31</f>
        <v>Notes</v>
      </c>
      <c r="F41" s="397" t="s">
        <v>486</v>
      </c>
      <c r="G41" s="398"/>
      <c r="H41" s="399"/>
      <c r="I41" s="236"/>
      <c r="N41" s="184"/>
    </row>
    <row r="42" spans="4:24" ht="9.9499999999999993" customHeight="1" x14ac:dyDescent="0.2">
      <c r="D42" s="183"/>
      <c r="N42" s="184"/>
    </row>
    <row r="43" spans="4:24" ht="30" customHeight="1" x14ac:dyDescent="0.2">
      <c r="D43" s="183"/>
      <c r="E43" s="221" t="str">
        <f>Translation!B121</f>
        <v>2. Combinaisons</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Classes de service</v>
      </c>
      <c r="H45" s="297">
        <v>1</v>
      </c>
      <c r="I45" s="393" t="str">
        <f>VLOOKUP(H45,Foglio2!A17:B19,2,FALSE)</f>
        <v>Caractérisé par une humidité du matériau en équilibre avec l'environnement à une température de 20 °C et une humidité relative de l'air environnant qui ne dépasse pas 65 %, si ce n'est pendant quelques semaines par an.</v>
      </c>
      <c r="J45" s="394"/>
      <c r="K45" s="394"/>
      <c r="L45" s="394"/>
      <c r="M45" s="394"/>
      <c r="N45" s="184"/>
    </row>
    <row r="46" spans="4:24" ht="20.100000000000001" customHeight="1" x14ac:dyDescent="0.2">
      <c r="D46" s="183"/>
      <c r="E46" s="99" t="str">
        <f>Translation!B123</f>
        <v xml:space="preserve">Classe de durée de la charge </v>
      </c>
      <c r="F46" s="197"/>
      <c r="H46" s="297" t="s">
        <v>921</v>
      </c>
      <c r="I46" s="393" t="str">
        <f>VLOOKUP(H46,Foglio2!A22:B26,2,FALSE)</f>
        <v>Charges variables de bâtiments, à l'exception de celles relatives aux entrepôts et dépôts.</v>
      </c>
      <c r="J46" s="394"/>
      <c r="K46" s="394"/>
      <c r="L46" s="394"/>
      <c r="M46" s="394"/>
      <c r="N46" s="184"/>
    </row>
    <row r="47" spans="4:24" ht="20.100000000000001" customHeight="1" x14ac:dyDescent="0.2">
      <c r="D47" s="183"/>
      <c r="E47" s="99" t="str">
        <f>Translation!B124</f>
        <v>Coefficient kmod</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Production contrôlée en continu (COV &lt; 15 %)</v>
      </c>
      <c r="F49" s="197"/>
      <c r="H49" s="297" t="s">
        <v>537</v>
      </c>
      <c r="I49" s="236"/>
      <c r="N49" s="184"/>
    </row>
    <row r="50" spans="4:33" ht="20.100000000000001" customHeight="1" x14ac:dyDescent="0.2">
      <c r="D50" s="183"/>
      <c r="E50" s="99" t="str">
        <f>Translation!B139</f>
        <v>Coefficient de sécurité de connexion</v>
      </c>
      <c r="F50" s="197" t="s">
        <v>275</v>
      </c>
      <c r="G50" s="197" t="s">
        <v>262</v>
      </c>
      <c r="H50" s="215">
        <f>IF(F39=X38,1.3,IF(H49="SI",AC168,AB168))</f>
        <v>1.3</v>
      </c>
      <c r="I50" s="202"/>
      <c r="N50" s="184"/>
    </row>
    <row r="51" spans="4:33" ht="20.100000000000001" customHeight="1" x14ac:dyDescent="0.2">
      <c r="D51" s="183"/>
      <c r="E51" s="99" t="str">
        <f>Translation!B140</f>
        <v>Coefficient de sécurité aluminium</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Poutre</v>
      </c>
      <c r="AB53" s="99" t="s">
        <v>3</v>
      </c>
    </row>
    <row r="54" spans="4:33" ht="30" customHeight="1" x14ac:dyDescent="0.2">
      <c r="D54" s="183"/>
      <c r="E54" s="221" t="str">
        <f>Translation!B32</f>
        <v xml:space="preserve">3. Sollicitations du projet </v>
      </c>
      <c r="F54" s="222"/>
      <c r="G54" s="222"/>
      <c r="H54" s="223"/>
      <c r="I54" s="223"/>
      <c r="J54" s="222"/>
      <c r="K54" s="222"/>
      <c r="L54" s="222"/>
      <c r="M54" s="222"/>
      <c r="N54" s="184"/>
      <c r="R54" s="240"/>
      <c r="S54" s="240"/>
      <c r="X54" s="99" t="s">
        <v>254</v>
      </c>
      <c r="AA54" s="99" t="str">
        <f>Translation!B5</f>
        <v>Poteau</v>
      </c>
      <c r="AB54" s="99" t="s">
        <v>240</v>
      </c>
    </row>
    <row r="55" spans="4:33" ht="9.9499999999999993" customHeight="1" x14ac:dyDescent="0.2">
      <c r="D55" s="183"/>
      <c r="N55" s="184"/>
      <c r="R55" s="240"/>
      <c r="S55" s="240"/>
      <c r="X55" s="99">
        <f>IF(H72="Trave",VLOOKUP(H111,Screws!C6:G29,5,FALSE),VLOOKUP(H97,Data!AA4:AC24,2,FALSE)+18)</f>
        <v>118</v>
      </c>
    </row>
    <row r="56" spans="4:33" ht="20.100000000000001" customHeight="1" x14ac:dyDescent="0.2">
      <c r="D56" s="183"/>
      <c r="E56" s="99" t="str">
        <f>Translation!B33</f>
        <v>Action de cisaillement verticale</v>
      </c>
      <c r="F56" s="197" t="s">
        <v>1321</v>
      </c>
      <c r="G56" s="197" t="s">
        <v>258</v>
      </c>
      <c r="H56" s="297">
        <v>4</v>
      </c>
      <c r="I56" s="236"/>
      <c r="N56" s="184"/>
      <c r="X56" s="99">
        <f>IF(H72="Trave",VLOOKUP(H97,Data!AA4:AC24,3,FALSE)+15,VLOOKUP(H111,Screws!C6:G29,5,FALSE))</f>
        <v>80</v>
      </c>
    </row>
    <row r="57" spans="4:33" ht="20.100000000000001" customHeight="1" x14ac:dyDescent="0.2">
      <c r="D57" s="183"/>
      <c r="E57" s="99" t="str">
        <f>Translation!B34</f>
        <v>Action de cisaillement pour le soulèvement</v>
      </c>
      <c r="F57" s="197" t="s">
        <v>1322</v>
      </c>
      <c r="G57" s="197" t="s">
        <v>258</v>
      </c>
      <c r="H57" s="297">
        <v>1</v>
      </c>
      <c r="I57" s="236"/>
      <c r="N57" s="184"/>
    </row>
    <row r="58" spans="4:33" ht="20.100000000000001" customHeight="1" x14ac:dyDescent="0.2">
      <c r="D58" s="183"/>
      <c r="E58" s="99" t="str">
        <f>Translation!B35</f>
        <v>Action axiale</v>
      </c>
      <c r="F58" s="197" t="s">
        <v>1323</v>
      </c>
      <c r="G58" s="197" t="s">
        <v>258</v>
      </c>
      <c r="H58" s="297">
        <v>2</v>
      </c>
      <c r="I58" s="236"/>
      <c r="N58" s="184"/>
    </row>
    <row r="59" spans="4:33" ht="35.1" customHeight="1" x14ac:dyDescent="0.2">
      <c r="D59" s="183"/>
      <c r="E59" s="99" t="str">
        <f>Translation!B36</f>
        <v>Action latérale</v>
      </c>
      <c r="F59" s="197" t="s">
        <v>1324</v>
      </c>
      <c r="G59" s="197" t="s">
        <v>258</v>
      </c>
      <c r="H59" s="297">
        <v>1</v>
      </c>
      <c r="I59" s="236"/>
      <c r="N59" s="184"/>
      <c r="AA59" s="299"/>
      <c r="AB59" s="99" t="str">
        <f>Translation!B6</f>
        <v>Entaille colonne</v>
      </c>
      <c r="AG59" s="299">
        <v>0</v>
      </c>
    </row>
    <row r="60" spans="4:33" ht="20.100000000000001" customHeight="1" x14ac:dyDescent="0.2">
      <c r="D60" s="183"/>
      <c r="N60" s="184"/>
      <c r="AA60" s="299"/>
      <c r="AB60" s="99" t="str">
        <f>Translation!B7</f>
        <v>Entaille poutre principale</v>
      </c>
      <c r="AC60" s="99" t="s">
        <v>179</v>
      </c>
      <c r="AE60" s="99" t="str">
        <f>Translation!B6</f>
        <v>Entaille colonne</v>
      </c>
      <c r="AF60" s="99" t="s">
        <v>180</v>
      </c>
      <c r="AG60" s="299">
        <v>1</v>
      </c>
    </row>
    <row r="61" spans="4:33" ht="9.9499999999999993" customHeight="1" x14ac:dyDescent="0.2">
      <c r="D61" s="183"/>
      <c r="N61" s="184"/>
      <c r="X61" s="99" t="s">
        <v>255</v>
      </c>
      <c r="AA61" s="299"/>
      <c r="AB61" s="99" t="str">
        <f>Translation!B8</f>
        <v>Entaille poutre secondaire</v>
      </c>
      <c r="AC61" s="99" t="s">
        <v>181</v>
      </c>
      <c r="AE61" s="99" t="str">
        <f>Translation!B8</f>
        <v>Entaille poutre secondaire</v>
      </c>
      <c r="AF61" s="99" t="s">
        <v>181</v>
      </c>
      <c r="AG61" s="299">
        <v>2</v>
      </c>
    </row>
    <row r="62" spans="4:33" ht="30" customHeight="1" x14ac:dyDescent="0.2">
      <c r="D62" s="183"/>
      <c r="E62" s="221" t="str">
        <f>Translation!B37</f>
        <v>4. Éléments en bois</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Vis inclinées</v>
      </c>
      <c r="AC62" s="99" t="s">
        <v>215</v>
      </c>
      <c r="AE62" s="99" t="str">
        <f>Translation!B9</f>
        <v>Vis inclinées</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Configuration pour résistance latérale</v>
      </c>
      <c r="H65" s="297" t="s">
        <v>552</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Élément principal</v>
      </c>
      <c r="F67" s="409" t="str">
        <f>Translation!B210</f>
        <v>Fraisage pour le boîtier du connecteur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Base de la poutre</v>
      </c>
      <c r="F69" s="197" t="str">
        <f>IF(H72=AA53,"Bh","Bs")</f>
        <v>Bh</v>
      </c>
      <c r="G69" s="197" t="s">
        <v>261</v>
      </c>
      <c r="H69" s="297">
        <v>180</v>
      </c>
      <c r="I69" s="410" t="str">
        <f>Translation!B207</f>
        <v>!! élément trop petit pour le connecteur sélectionné !!</v>
      </c>
      <c r="J69" s="337"/>
      <c r="K69" s="337"/>
      <c r="L69" s="337"/>
      <c r="M69" s="337"/>
      <c r="N69" s="184"/>
      <c r="R69" s="99" t="s">
        <v>1340</v>
      </c>
      <c r="S69" s="100">
        <f>IF(H98=AB165,0,1)</f>
        <v>1</v>
      </c>
      <c r="AB69" s="99" t="str" cm="1">
        <f t="array" ref="AB69:AB72">IF($H$72=$AA$54,$AE$60:$AE$63,$AB$60:$AB$63)</f>
        <v>Entaille poutre principale</v>
      </c>
    </row>
    <row r="70" spans="4:28" ht="20.100000000000001" customHeight="1" x14ac:dyDescent="0.2">
      <c r="D70" s="183"/>
      <c r="E70" s="99" t="str">
        <f>IF(H72=AA53,Translation!B41,Translation!B42)</f>
        <v>Hauteur de la poutre</v>
      </c>
      <c r="F70" s="197" t="str">
        <f>IF(H72=AA53,"Hh","Bh")</f>
        <v>Hh</v>
      </c>
      <c r="G70" s="197" t="s">
        <v>261</v>
      </c>
      <c r="H70" s="297">
        <v>400</v>
      </c>
      <c r="I70" s="410"/>
      <c r="J70" s="337"/>
      <c r="K70" s="337"/>
      <c r="L70" s="337"/>
      <c r="M70" s="337"/>
      <c r="N70" s="184"/>
      <c r="R70" s="99">
        <f>INDEX(Foglio2!$B$5:$B$11,MATCH('LOCK-T'!$H$72,Foglio2!$A$5:$A$11,0))</f>
        <v>0</v>
      </c>
      <c r="X70" s="338" t="s">
        <v>1312</v>
      </c>
      <c r="AB70" s="99" t="str">
        <v>Entaille poutre secondaire</v>
      </c>
    </row>
    <row r="71" spans="4:28" ht="20.100000000000001" customHeight="1" x14ac:dyDescent="0.2">
      <c r="D71" s="183"/>
      <c r="E71" s="99" t="str">
        <f>Translation!B43</f>
        <v>Type de bois</v>
      </c>
      <c r="F71" s="197" t="s">
        <v>4</v>
      </c>
      <c r="G71" s="197" t="s">
        <v>262</v>
      </c>
      <c r="H71" s="297" t="s">
        <v>1</v>
      </c>
      <c r="I71" s="236"/>
      <c r="K71" s="411"/>
      <c r="L71" s="411"/>
      <c r="M71" s="339"/>
      <c r="N71" s="184"/>
      <c r="R71" s="99">
        <f>INDEX(Foglio2!$B$12:$B$13,MATCH('LOCK-T'!$H$98,Foglio2!$A$12:$A$13,0))</f>
        <v>0</v>
      </c>
      <c r="X71" s="346" t="s">
        <v>1313</v>
      </c>
      <c r="AB71" s="99" t="str">
        <v>Vis inclinées</v>
      </c>
    </row>
    <row r="72" spans="4:28" ht="20.100000000000001" customHeight="1" x14ac:dyDescent="0.2">
      <c r="D72" s="183"/>
      <c r="E72" s="99" t="str">
        <f>Translation!B44</f>
        <v>Orientation élément principal</v>
      </c>
      <c r="F72" s="197" t="s">
        <v>4</v>
      </c>
      <c r="G72" s="197" t="s">
        <v>262</v>
      </c>
      <c r="H72" s="297" t="s">
        <v>543</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Classe de résistance pour le bois  EN 14080:2013</v>
      </c>
      <c r="H74" s="214" t="str">
        <f>H71</f>
        <v>GL24h</v>
      </c>
      <c r="I74" s="409" t="str">
        <f>IF(H72=AA54,Translation!B52,Translation!B53)</f>
        <v>Pour les vis de fixation sur élément en bois avec une densité caractéristique ρk&gt;420 kg/m3, le pré-perçage est nécessaire.</v>
      </c>
      <c r="N74" s="184"/>
      <c r="W74" s="99" t="s">
        <v>112</v>
      </c>
      <c r="X74" s="99">
        <f>H117</f>
        <v>80</v>
      </c>
    </row>
    <row r="75" spans="4:28" ht="20.100000000000001" customHeight="1" x14ac:dyDescent="0.2">
      <c r="D75" s="183"/>
      <c r="E75" s="99" t="str">
        <f>Translation!B47</f>
        <v>Masse volumique caractéristique</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Résistance caractéristique à compression parallèle au fil</v>
      </c>
      <c r="F76" s="197" t="s">
        <v>470</v>
      </c>
      <c r="G76" s="197" t="s">
        <v>299</v>
      </c>
      <c r="H76" s="267">
        <f>VLOOKUP($H$74,Data!$B$4:$G$36,3,FALSE)</f>
        <v>24</v>
      </c>
      <c r="I76" s="409"/>
      <c r="N76" s="184"/>
      <c r="X76" s="99" t="s">
        <v>1315</v>
      </c>
    </row>
    <row r="77" spans="4:28" ht="30" customHeight="1" x14ac:dyDescent="0.2">
      <c r="D77" s="183"/>
      <c r="E77" s="261" t="str">
        <f>Translation!B49</f>
        <v>Résistance caractéristique à compression perpendiculaire au fil</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Résistance caractéristique au cisaillement roulant (perpendiculaire à la fibre)</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Résistance caractéristique au cisaillement</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Élément secondaire</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Base de la poutre</v>
      </c>
      <c r="F83" s="197" t="s">
        <v>307</v>
      </c>
      <c r="G83" s="197" t="s">
        <v>261</v>
      </c>
      <c r="H83" s="297">
        <v>240</v>
      </c>
      <c r="I83" s="410" t="str">
        <f>Translation!B207</f>
        <v>!! élément trop petit pour le connecteur sélectionné !!</v>
      </c>
      <c r="J83" s="337"/>
      <c r="K83" s="411"/>
      <c r="L83" s="411"/>
      <c r="M83" s="337"/>
      <c r="N83" s="184"/>
      <c r="W83" s="99" t="s">
        <v>112</v>
      </c>
      <c r="X83" s="99">
        <f>IF(H99=2,H103+I103,H103)+IF(H114=7,24,17.5)</f>
        <v>124</v>
      </c>
    </row>
    <row r="84" spans="4:29" ht="20.100000000000001" customHeight="1" x14ac:dyDescent="0.2">
      <c r="D84" s="183"/>
      <c r="E84" s="99" t="str">
        <f>Translation!B56</f>
        <v>Hauteur de la poutre</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Type de bois</v>
      </c>
      <c r="F85" s="197" t="s">
        <v>4</v>
      </c>
      <c r="G85" s="197" t="s">
        <v>262</v>
      </c>
      <c r="H85" s="297" t="s">
        <v>57</v>
      </c>
      <c r="I85" s="410" t="str">
        <f>Translation!B59</f>
        <v>Pour les angles élevés, vérifier que les vis ne dépassent pas des sections géométriquement.</v>
      </c>
      <c r="J85" s="409"/>
      <c r="K85" s="409"/>
      <c r="N85" s="184"/>
      <c r="X85" s="99" t="s">
        <v>1318</v>
      </c>
    </row>
    <row r="86" spans="4:29" ht="20.100000000000001" customHeight="1" x14ac:dyDescent="0.2">
      <c r="D86" s="183"/>
      <c r="E86" s="99" t="str">
        <f>Translation!B58</f>
        <v>Angle dans le plan vertical</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Classe de résistance pour le bois EN 14080:2013</v>
      </c>
      <c r="H88" s="214" t="str">
        <f>H85</f>
        <v>GL22h</v>
      </c>
      <c r="I88" s="409" t="str">
        <f>Translation!B66</f>
        <v>Pour les vis de fixation sur élément en bois avec une densité caractéristique ρk&gt;420 kg/m3, le pré-perçage est nécessaire.</v>
      </c>
      <c r="N88" s="184"/>
    </row>
    <row r="89" spans="4:29" ht="20.100000000000001" customHeight="1" x14ac:dyDescent="0.2">
      <c r="D89" s="183"/>
      <c r="E89" s="99" t="str">
        <f>Translation!B61</f>
        <v>Masse volumique caractéristique</v>
      </c>
      <c r="F89" s="197" t="s">
        <v>474</v>
      </c>
      <c r="G89" s="197" t="s">
        <v>300</v>
      </c>
      <c r="H89" s="268">
        <f>VLOOKUP($H$88,Data!$B$4:$G$36,2,FALSE)</f>
        <v>370</v>
      </c>
      <c r="I89" s="409"/>
      <c r="N89" s="184"/>
    </row>
    <row r="90" spans="4:29" ht="30" customHeight="1" x14ac:dyDescent="0.2">
      <c r="D90" s="183"/>
      <c r="E90" s="261" t="str">
        <f>Translation!B62</f>
        <v>Résistance caractéristique à compression parallèle au fil</v>
      </c>
      <c r="F90" s="197" t="s">
        <v>470</v>
      </c>
      <c r="G90" s="197" t="s">
        <v>299</v>
      </c>
      <c r="H90" s="267">
        <f>VLOOKUP($H$88,Data!$B$4:$G$36,3,FALSE)</f>
        <v>22</v>
      </c>
      <c r="I90" s="409"/>
      <c r="N90" s="184"/>
    </row>
    <row r="91" spans="4:29" ht="30" customHeight="1" x14ac:dyDescent="0.2">
      <c r="D91" s="183"/>
      <c r="E91" s="261" t="str">
        <f>Translation!B63</f>
        <v>Résistance caractéristique à compression perpendiculaire au fil</v>
      </c>
      <c r="F91" s="197" t="s">
        <v>471</v>
      </c>
      <c r="G91" s="197" t="s">
        <v>299</v>
      </c>
      <c r="H91" s="267">
        <f>VLOOKUP($H$88,Data!$B$4:$G$36,4,FALSE)</f>
        <v>2.5</v>
      </c>
      <c r="I91" s="409"/>
      <c r="N91" s="184"/>
    </row>
    <row r="92" spans="4:29" ht="30" customHeight="1" x14ac:dyDescent="0.2">
      <c r="D92" s="183"/>
      <c r="E92" s="261" t="str">
        <f>Translation!B64</f>
        <v>Résistance caractéristique au cisaillement roulant (perpendiculaire à la fibre)</v>
      </c>
      <c r="F92" s="197" t="s">
        <v>472</v>
      </c>
      <c r="G92" s="197" t="s">
        <v>299</v>
      </c>
      <c r="H92" s="267">
        <f>VLOOKUP($H$88,Data!$B$4:$G$36,5,FALSE)</f>
        <v>1.2</v>
      </c>
      <c r="I92" s="409"/>
      <c r="N92" s="184"/>
    </row>
    <row r="93" spans="4:29" ht="20.100000000000001" customHeight="1" x14ac:dyDescent="0.2">
      <c r="D93" s="183"/>
      <c r="E93" s="99" t="str">
        <f>Translation!B65</f>
        <v>Résistance caractéristique au cisaillement</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Choix du connecteur et des vis</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Choix du connecteur</v>
      </c>
      <c r="F97" s="230"/>
      <c r="H97" s="297" t="s">
        <v>373</v>
      </c>
      <c r="I97" s="297" t="s">
        <v>362</v>
      </c>
      <c r="K97" s="409" t="str">
        <f>Translation!B71</f>
        <v>Les connecteurs accouplés doivent avoir la même hauteur !</v>
      </c>
      <c r="L97" s="409"/>
      <c r="M97" s="409"/>
      <c r="N97" s="184"/>
    </row>
    <row r="98" spans="4:27" ht="20.100000000000001" customHeight="1" x14ac:dyDescent="0.2">
      <c r="D98" s="183"/>
      <c r="E98" s="99" t="str">
        <f>Translation!B69</f>
        <v>Version avec revêtement C4 EVO</v>
      </c>
      <c r="H98" s="297" t="s">
        <v>534</v>
      </c>
      <c r="I98" s="255" t="str">
        <f>H98</f>
        <v>Oui</v>
      </c>
      <c r="N98" s="184"/>
    </row>
    <row r="99" spans="4:27" ht="20.100000000000001" customHeight="1" x14ac:dyDescent="0.2">
      <c r="D99" s="183"/>
      <c r="E99" s="99" t="str">
        <f>Translation!B70</f>
        <v>Accouplement des connecteurs : nombre de connecteurs</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Code du connecteur utilisé</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Nombre de modules de base selon ETA-19/0831</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Base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Hauteur</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Épaisseur</v>
      </c>
      <c r="F105" s="197" t="s">
        <v>489</v>
      </c>
      <c r="G105" s="197" t="s">
        <v>261</v>
      </c>
      <c r="H105" s="215">
        <f>VLOOKUP(VLOOKUP(H97,Data!AA4:AD24,4,FALSE),Data!I4:T15,12,FALSE)</f>
        <v>22</v>
      </c>
      <c r="I105" s="215">
        <f>VLOOKUP(VLOOKUP(I97,Data!AA4:AD24,4,FALSE),Data!I4:T15,12,FALSE)</f>
        <v>22</v>
      </c>
      <c r="K105" s="201" t="str">
        <f>IF(H100="(*)",Translation!B81," ")</f>
        <v>(*) Code disponible sur demande spéciale</v>
      </c>
      <c r="L105" s="201"/>
      <c r="M105" s="201"/>
      <c r="N105" s="184"/>
    </row>
    <row r="106" spans="4:27" ht="20.100000000000001" customHeight="1" x14ac:dyDescent="0.2">
      <c r="D106" s="183"/>
      <c r="E106" s="99" t="str">
        <f>Translation!B77</f>
        <v>Trous</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Zone de contact entre le connecteur LOCK T et la tête ou la colonne</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Longueur du connecteur LOCK T</v>
      </c>
      <c r="F108" s="197" t="s">
        <v>400</v>
      </c>
      <c r="G108" s="197" t="s">
        <v>261</v>
      </c>
      <c r="H108" s="215">
        <f>VLOOKUP(H97,Data!AA4:AC24,3,FALSE)</f>
        <v>290</v>
      </c>
      <c r="I108" s="215">
        <f>VLOOKUP(I97,Data!AA4:AC24,3,FALSE)</f>
        <v>135</v>
      </c>
      <c r="K108" s="411" t="str">
        <f>Translation!B83</f>
        <v>Accouplement des connecteurs :</v>
      </c>
      <c r="L108" s="411"/>
      <c r="M108" s="411"/>
      <c r="N108" s="184"/>
    </row>
    <row r="109" spans="4:27" ht="20.100000000000001" customHeight="1" x14ac:dyDescent="0.2">
      <c r="D109" s="183"/>
      <c r="E109" s="99" t="str">
        <f>Translation!B80</f>
        <v>Facteur de forme</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Vis de fixation élément principal</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Code vis élément principal</v>
      </c>
      <c r="H113" s="214" t="str">
        <f>VLOOKUP(H111,Screws!C6:K34,9,FALSE)</f>
        <v>LBS780</v>
      </c>
      <c r="I113" s="214" t="str">
        <f t="shared" ref="I113:I122" si="0">H113</f>
        <v>LBS780</v>
      </c>
      <c r="N113" s="184"/>
    </row>
    <row r="114" spans="4:18" ht="20.100000000000001" customHeight="1" x14ac:dyDescent="0.2">
      <c r="D114" s="183"/>
      <c r="E114" s="99" t="str">
        <f>Translation!B86</f>
        <v>Diamètre nominal</v>
      </c>
      <c r="F114" s="197" t="s">
        <v>291</v>
      </c>
      <c r="G114" s="197" t="s">
        <v>261</v>
      </c>
      <c r="H114" s="215">
        <f>VLOOKUP(H111,Screws!AG6:AP34,2,FALSE)</f>
        <v>7</v>
      </c>
      <c r="I114" s="215">
        <f t="shared" si="0"/>
        <v>7</v>
      </c>
      <c r="N114" s="184"/>
    </row>
    <row r="115" spans="4:18" ht="20.100000000000001" customHeight="1" x14ac:dyDescent="0.2">
      <c r="D115" s="183"/>
      <c r="E115" s="99" t="str">
        <f>Translation!B87</f>
        <v>Diamètre noyau</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Diamètre tête</v>
      </c>
      <c r="F116" s="197" t="s">
        <v>293</v>
      </c>
      <c r="G116" s="197" t="s">
        <v>261</v>
      </c>
      <c r="H116" s="215">
        <f>VLOOKUP(H111,Screws!AG6:AP34,4,FALSE)</f>
        <v>11</v>
      </c>
      <c r="I116" s="215">
        <f t="shared" si="0"/>
        <v>11</v>
      </c>
      <c r="N116" s="184"/>
    </row>
    <row r="117" spans="4:18" ht="20.100000000000001" customHeight="1" x14ac:dyDescent="0.2">
      <c r="D117" s="183"/>
      <c r="E117" s="99" t="str">
        <f>Translation!B89</f>
        <v>Longueur</v>
      </c>
      <c r="F117" s="197" t="s">
        <v>290</v>
      </c>
      <c r="G117" s="197" t="s">
        <v>261</v>
      </c>
      <c r="H117" s="215">
        <f>VLOOKUP(H111,Screws!AG6:AP34,5,FALSE)</f>
        <v>80</v>
      </c>
      <c r="I117" s="215">
        <f t="shared" si="0"/>
        <v>80</v>
      </c>
      <c r="N117" s="184"/>
    </row>
    <row r="118" spans="4:18" ht="20.100000000000001" customHeight="1" x14ac:dyDescent="0.2">
      <c r="D118" s="183"/>
      <c r="E118" s="99" t="str">
        <f>Translation!B90</f>
        <v>Longueur filet</v>
      </c>
      <c r="F118" s="197" t="s">
        <v>294</v>
      </c>
      <c r="G118" s="197" t="s">
        <v>261</v>
      </c>
      <c r="H118" s="215">
        <f>VLOOKUP(H111,Screws!AG6:AP34,6,FALSE)</f>
        <v>75</v>
      </c>
      <c r="I118" s="215">
        <f t="shared" si="0"/>
        <v>75</v>
      </c>
      <c r="N118" s="184"/>
    </row>
    <row r="119" spans="4:18" ht="20.100000000000001" customHeight="1" x14ac:dyDescent="0.2">
      <c r="D119" s="183"/>
      <c r="E119" s="99" t="str">
        <f>Translation!B91</f>
        <v>Résistance caractéristique à l’arrachement</v>
      </c>
      <c r="F119" s="197" t="s">
        <v>295</v>
      </c>
      <c r="G119" s="197" t="s">
        <v>299</v>
      </c>
      <c r="H119" s="215">
        <f>VLOOKUP(H111,Screws!AG6:AP34,7,FALSE)</f>
        <v>11.7</v>
      </c>
      <c r="I119" s="215">
        <f t="shared" si="0"/>
        <v>11.7</v>
      </c>
      <c r="N119" s="184"/>
    </row>
    <row r="120" spans="4:18" ht="20.100000000000001" customHeight="1" x14ac:dyDescent="0.2">
      <c r="D120" s="183"/>
      <c r="E120" s="99" t="str">
        <f>Translation!B92</f>
        <v>Densité associée</v>
      </c>
      <c r="F120" s="197" t="s">
        <v>296</v>
      </c>
      <c r="G120" s="197" t="s">
        <v>300</v>
      </c>
      <c r="H120" s="215">
        <f>VLOOKUP(H111,Screws!AG6:AP34,8,FALSE)</f>
        <v>350</v>
      </c>
      <c r="I120" s="215">
        <f t="shared" si="0"/>
        <v>350</v>
      </c>
      <c r="N120" s="184"/>
    </row>
    <row r="121" spans="4:18" ht="20.100000000000001" customHeight="1" x14ac:dyDescent="0.2">
      <c r="D121" s="183"/>
      <c r="E121" s="99" t="str">
        <f>Translation!B93</f>
        <v>Résistance caractéristique à la traction</v>
      </c>
      <c r="F121" s="197" t="s">
        <v>297</v>
      </c>
      <c r="G121" s="197" t="s">
        <v>258</v>
      </c>
      <c r="H121" s="215">
        <f>VLOOKUP(H111,Screws!AG6:AP34,9,FALSE)</f>
        <v>15.4</v>
      </c>
      <c r="I121" s="215">
        <f t="shared" si="0"/>
        <v>15.4</v>
      </c>
      <c r="N121" s="184"/>
    </row>
    <row r="122" spans="4:18" ht="20.100000000000001" customHeight="1" x14ac:dyDescent="0.2">
      <c r="D122" s="183"/>
      <c r="E122" s="99" t="str">
        <f>Translation!B94</f>
        <v>Moment plastique caractéristique</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Vis fixations poutre secondaire</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Code vis de poutre secondaire</v>
      </c>
      <c r="H126" s="214" t="str">
        <f>VLOOKUP(H124,Screws!$C$6:$K$34,9,FALSE)</f>
        <v>LBS780</v>
      </c>
      <c r="I126" s="214" t="str">
        <f t="shared" ref="I126:I135" si="1">H126</f>
        <v>LBS780</v>
      </c>
      <c r="K126" s="411" t="str">
        <f>Translation!B96</f>
        <v>Configuration Flat :</v>
      </c>
      <c r="L126" s="411"/>
      <c r="M126" s="411"/>
      <c r="N126" s="184"/>
    </row>
    <row r="127" spans="4:18" ht="20.100000000000001" customHeight="1" x14ac:dyDescent="0.2">
      <c r="D127" s="183"/>
      <c r="E127" s="99" t="str">
        <f>Translation!B98</f>
        <v>Diamètre nominal</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Diamètre noyau</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Diamètre tête</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Longueur</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Longueur filet</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Résistance caractéristique à l’arrachement</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Densité associée</v>
      </c>
      <c r="F133" s="197" t="s">
        <v>296</v>
      </c>
      <c r="G133" s="197" t="s">
        <v>300</v>
      </c>
      <c r="H133" s="215">
        <f>VLOOKUP(H124,Screws!$AG$6:$AP$34,8,FALSE)</f>
        <v>350</v>
      </c>
      <c r="I133" s="215">
        <f t="shared" si="1"/>
        <v>350</v>
      </c>
      <c r="N133" s="184"/>
    </row>
    <row r="134" spans="4:18" ht="20.100000000000001" customHeight="1" x14ac:dyDescent="0.2">
      <c r="D134" s="183"/>
      <c r="E134" s="99" t="str">
        <f>Translation!B105</f>
        <v>Résistance caractéristique à la traction</v>
      </c>
      <c r="F134" s="197" t="s">
        <v>297</v>
      </c>
      <c r="G134" s="197" t="s">
        <v>258</v>
      </c>
      <c r="H134" s="215">
        <f>VLOOKUP(H124,Screws!$AG$6:$AP$34,9,FALSE)</f>
        <v>15.4</v>
      </c>
      <c r="I134" s="215">
        <f t="shared" si="1"/>
        <v>15.4</v>
      </c>
      <c r="N134" s="184"/>
    </row>
    <row r="135" spans="4:18" ht="20.100000000000001" customHeight="1" x14ac:dyDescent="0.2">
      <c r="D135" s="183"/>
      <c r="E135" s="99" t="str">
        <f>Translation!B106</f>
        <v>Moment plastique caractéristique</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Type de connecteur LOCK STOP</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Vis inclinées pour résistance au soulèvement et/ou latérale</v>
      </c>
      <c r="H141" s="297" t="s">
        <v>1341</v>
      </c>
      <c r="I141" s="255" t="str">
        <f>H141</f>
        <v>LBS Ø 5 x 60</v>
      </c>
      <c r="N141" s="184"/>
    </row>
    <row r="142" spans="4:18" ht="20.100000000000001" customHeight="1" x14ac:dyDescent="0.2">
      <c r="D142" s="183"/>
      <c r="E142" s="99" t="str">
        <f>Translation!B110</f>
        <v>Nombre de vis inclinées</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Code vis</v>
      </c>
      <c r="H144" s="214" t="str">
        <f>IF(H141="NO","-",VLOOKUP(H141,Screws!C6:K34,9,FALSE))</f>
        <v>LBS560</v>
      </c>
      <c r="I144" s="214" t="str">
        <f>H144</f>
        <v>LBS560</v>
      </c>
      <c r="N144" s="184"/>
    </row>
    <row r="145" spans="4:14" ht="20.100000000000001" customHeight="1" x14ac:dyDescent="0.2">
      <c r="D145" s="183"/>
      <c r="E145" s="99" t="str">
        <f>Translation!B112</f>
        <v>Diamètre nominal</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Diamètre noyau</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Diamètre tête</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Longueur</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Longueur filet</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Résistance caractéristique à l’arrachement</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Densité associée</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Résistance caractéristique à la traction</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Moment plastique caractéristique</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Vérifications de conception pour les directions individuelles</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Le dimensionnement et la capacité des éléments en bois seront effectués séparément. En particulier, pour des charges perpendiculaires à l’axe des poutres, il est conseillé d’effectuer un contrôle séparé sur les deux éléments en bois.</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Non</v>
      </c>
      <c r="AC165" s="99" t="str">
        <f>Translation!B2</f>
        <v>Oui</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Cisaillement verticale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Résistance caractéristique à la pression diamétrale de l'élément principal</v>
      </c>
      <c r="F169" s="99" t="s">
        <v>414</v>
      </c>
      <c r="G169" s="99" t="s">
        <v>415</v>
      </c>
      <c r="H169" s="263">
        <f>V_downward!AO6</f>
        <v>17.609424784823478</v>
      </c>
      <c r="N169" s="184"/>
    </row>
    <row r="170" spans="4:29" ht="30" customHeight="1" x14ac:dyDescent="0.2">
      <c r="D170" s="183"/>
      <c r="E170" s="261" t="str">
        <f>Translation!B145</f>
        <v>Capacité axiale caractéristique d'une vis sur un élément principal</v>
      </c>
      <c r="F170" s="99" t="s">
        <v>413</v>
      </c>
      <c r="G170" s="99" t="s">
        <v>416</v>
      </c>
      <c r="H170" s="262">
        <f>V_downward!AU6</f>
        <v>6364.0055001584997</v>
      </c>
      <c r="N170" s="184"/>
    </row>
    <row r="171" spans="4:29" ht="30" customHeight="1" x14ac:dyDescent="0.2">
      <c r="D171" s="183"/>
      <c r="E171" s="261" t="str">
        <f>Translation!B146</f>
        <v>Capacité de charge caractéristique par plan de cisaillement pour la fixation de l'élément principal</v>
      </c>
      <c r="F171" s="99" t="s">
        <v>412</v>
      </c>
      <c r="G171" s="99" t="s">
        <v>416</v>
      </c>
      <c r="H171" s="262">
        <f>V_downward!AX6</f>
        <v>3740.7152391283153</v>
      </c>
      <c r="N171" s="184"/>
    </row>
    <row r="172" spans="4:29" ht="20.100000000000001" customHeight="1" x14ac:dyDescent="0.2">
      <c r="D172" s="183"/>
      <c r="E172" s="261" t="str">
        <f>Translation!B147</f>
        <v>Facteur de forme</v>
      </c>
      <c r="F172" s="99" t="s">
        <v>119</v>
      </c>
      <c r="G172" s="99" t="s">
        <v>262</v>
      </c>
      <c r="H172" s="262">
        <f>V_downward!AZ6</f>
        <v>144</v>
      </c>
      <c r="N172" s="184"/>
    </row>
    <row r="173" spans="4:29" ht="20.100000000000001" customHeight="1" x14ac:dyDescent="0.2">
      <c r="D173" s="183"/>
      <c r="E173" s="261" t="str">
        <f>Translation!B148</f>
        <v>Résistance caractéristique de l'élément principal</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Résistance caractéristique aluminium</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Résistance caractéristique à la pression diamétrale de l'élément secondaire</v>
      </c>
      <c r="F177" s="99" t="s">
        <v>417</v>
      </c>
      <c r="G177" s="99" t="s">
        <v>415</v>
      </c>
      <c r="H177" s="204">
        <f>V_downward!R6</f>
        <v>6.7693373198801936</v>
      </c>
      <c r="I177" s="204"/>
      <c r="N177" s="184"/>
    </row>
    <row r="178" spans="4:32" ht="30" customHeight="1" x14ac:dyDescent="0.2">
      <c r="D178" s="183"/>
      <c r="E178" s="261" t="str">
        <f>Translation!B151</f>
        <v>Capacité axiale caractéristique d'une vis sur un élément secondaire</v>
      </c>
      <c r="F178" s="99" t="s">
        <v>418</v>
      </c>
      <c r="G178" s="99" t="s">
        <v>416</v>
      </c>
      <c r="H178" s="262">
        <f>V_downward!Y6</f>
        <v>6164.8617526610669</v>
      </c>
      <c r="I178" s="204"/>
      <c r="N178" s="184"/>
    </row>
    <row r="179" spans="4:32" ht="30" customHeight="1" x14ac:dyDescent="0.2">
      <c r="D179" s="183"/>
      <c r="E179" s="261" t="str">
        <f>Translation!B152</f>
        <v>Capacité de charge caractéristique par plan de cisaillement pour la fixation de l'élément secondaire</v>
      </c>
      <c r="F179" s="99" t="s">
        <v>419</v>
      </c>
      <c r="G179" s="99" t="s">
        <v>416</v>
      </c>
      <c r="H179" s="262">
        <f>V_downward!AB6</f>
        <v>2617.1958117017621</v>
      </c>
      <c r="I179" s="204"/>
      <c r="N179" s="184"/>
    </row>
    <row r="180" spans="4:32" ht="20.100000000000001" customHeight="1" x14ac:dyDescent="0.2">
      <c r="D180" s="183"/>
      <c r="E180" s="99" t="str">
        <f>Translation!B153</f>
        <v>Résistance caractéristique de l'élément secondaire</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Permanente</v>
      </c>
      <c r="AC181" s="99" t="str">
        <f>Translation!B129</f>
        <v>Longue durée</v>
      </c>
      <c r="AD181" s="99" t="str">
        <f>Translation!B130</f>
        <v>Moyenne durée</v>
      </c>
      <c r="AE181" s="99" t="str">
        <f>Translation!B131</f>
        <v>Courte durée</v>
      </c>
      <c r="AF181" s="99" t="str">
        <f>Translation!B132</f>
        <v>Instantanée</v>
      </c>
    </row>
    <row r="182" spans="4:32" ht="20.100000000000001" customHeight="1" x14ac:dyDescent="0.2">
      <c r="D182" s="183"/>
      <c r="E182" s="99" t="str">
        <f>Translation!B154</f>
        <v>Résistance caractéristique</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Résistance du design</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Action de cisaillement verticale</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Vérification de la connexion</v>
      </c>
      <c r="F185" s="392" t="str">
        <f>IF(H185&gt;1,Translation!B209,Translation!B208)</f>
        <v xml:space="preserve"> VÉRIFIÉ</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Cisaillement vertical du soulèvement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Résistance caractéristique au refoulement</v>
      </c>
      <c r="F190" s="99" t="s">
        <v>420</v>
      </c>
      <c r="G190" s="99" t="s">
        <v>415</v>
      </c>
      <c r="H190" s="204">
        <f>IF(H141="NO","-",Uplift!AO6)</f>
        <v>19.479759046070704</v>
      </c>
      <c r="N190" s="184"/>
    </row>
    <row r="191" spans="4:32" ht="20.100000000000001" customHeight="1" x14ac:dyDescent="0.2">
      <c r="D191" s="183"/>
      <c r="E191" s="99" t="str">
        <f>Translation!B159</f>
        <v>Capacité axiale caractéristique d'une vis inclinée</v>
      </c>
      <c r="F191" s="99" t="s">
        <v>421</v>
      </c>
      <c r="G191" s="99" t="s">
        <v>416</v>
      </c>
      <c r="H191" s="262">
        <f>IF(H141="NO","-",Uplift!AU6)</f>
        <v>3030.4788095992858</v>
      </c>
      <c r="N191" s="184"/>
    </row>
    <row r="192" spans="4:32" ht="20.100000000000001" customHeight="1" x14ac:dyDescent="0.2">
      <c r="D192" s="183"/>
      <c r="E192" s="99" t="str">
        <f>Translation!B160</f>
        <v>Résistance caractéristique de l'élément principal</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Résistance caractéristique aluminium</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Résistance caractéristique à la contrainte portante</v>
      </c>
      <c r="F196" s="99" t="s">
        <v>417</v>
      </c>
      <c r="G196" s="99" t="s">
        <v>415</v>
      </c>
      <c r="H196" s="204">
        <f>IF(H141="NO","-",Uplift!R6)</f>
        <v>6.7693373198801936</v>
      </c>
      <c r="I196" s="253"/>
      <c r="N196" s="184"/>
    </row>
    <row r="197" spans="4:14" ht="20.100000000000001" customHeight="1" x14ac:dyDescent="0.2">
      <c r="D197" s="183"/>
      <c r="E197" s="99" t="str">
        <f>Translation!B163</f>
        <v>Capacité axiale caractéristique d'une vis inclinée</v>
      </c>
      <c r="F197" s="99" t="s">
        <v>418</v>
      </c>
      <c r="G197" s="99" t="s">
        <v>416</v>
      </c>
      <c r="H197" s="262">
        <f>IF(H141="NO","-",Uplift!Y6)</f>
        <v>6164.8617526610669</v>
      </c>
      <c r="I197" s="253"/>
      <c r="N197" s="184"/>
    </row>
    <row r="198" spans="4:14" ht="30" customHeight="1" x14ac:dyDescent="0.2">
      <c r="D198" s="183"/>
      <c r="E198" s="261" t="str">
        <f>Translation!B164</f>
        <v>Capacité de charge caractéristique pour le plan de cisaillement pour la fixation de l'élément secondaire</v>
      </c>
      <c r="F198" s="99" t="s">
        <v>419</v>
      </c>
      <c r="G198" s="99" t="s">
        <v>416</v>
      </c>
      <c r="H198" s="262">
        <f>IF(H141="NO","-",Uplift!AB6)</f>
        <v>2617.1958117017621</v>
      </c>
      <c r="I198" s="253"/>
      <c r="N198" s="184"/>
    </row>
    <row r="199" spans="4:14" ht="20.100000000000001" customHeight="1" x14ac:dyDescent="0.2">
      <c r="D199" s="183"/>
      <c r="E199" s="99" t="str">
        <f>Translation!B165</f>
        <v>Résistance caractéristique de l'élément secondaire</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Résistance caractéristique</v>
      </c>
      <c r="F201" s="197" t="s">
        <v>268</v>
      </c>
      <c r="G201" s="197" t="s">
        <v>258</v>
      </c>
      <c r="H201" s="207">
        <f>IF(H141="NO","-",Uplift!$BC$6)</f>
        <v>7.2321933932205456</v>
      </c>
      <c r="I201" s="207"/>
      <c r="N201" s="184"/>
    </row>
    <row r="202" spans="4:14" ht="20.100000000000001" customHeight="1" x14ac:dyDescent="0.2">
      <c r="D202" s="183"/>
      <c r="E202" s="99" t="str">
        <f>Translation!B167</f>
        <v>Résistance du design</v>
      </c>
      <c r="F202" s="197" t="s">
        <v>269</v>
      </c>
      <c r="G202" s="197" t="s">
        <v>258</v>
      </c>
      <c r="H202" s="207">
        <f>IF(H141="NO","-",MIN(($H$47*MIN(H192,H199))/$H$50,H194/H51))</f>
        <v>4.4505805496741822</v>
      </c>
      <c r="I202" s="207"/>
      <c r="N202" s="184"/>
    </row>
    <row r="203" spans="4:14" ht="20.100000000000001" customHeight="1" x14ac:dyDescent="0.2">
      <c r="D203" s="183"/>
      <c r="E203" s="99" t="str">
        <f>Translation!B34</f>
        <v>Action de cisaillement pour le soulèvement</v>
      </c>
      <c r="F203" s="99" t="s">
        <v>1326</v>
      </c>
      <c r="G203" s="99" t="s">
        <v>258</v>
      </c>
      <c r="H203" s="204">
        <f>H57</f>
        <v>1</v>
      </c>
      <c r="I203" s="207"/>
      <c r="N203" s="184"/>
    </row>
    <row r="204" spans="4:14" ht="30" customHeight="1" x14ac:dyDescent="0.2">
      <c r="D204" s="183"/>
      <c r="E204" s="99" t="str">
        <f>Translation!B168</f>
        <v>Vérification de la connexion</v>
      </c>
      <c r="F204" s="392" t="str">
        <f>IF(H141="NO","-",IF(H204&gt;1,Translation!B209,Translation!B208))</f>
        <v xml:space="preserve"> VÉRIFIÉ</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Axiale (Fax)</v>
      </c>
      <c r="F207" s="197"/>
      <c r="N207" s="184"/>
    </row>
    <row r="208" spans="4:14" ht="9.9499999999999993" customHeight="1" x14ac:dyDescent="0.2">
      <c r="D208" s="183"/>
      <c r="F208" s="197"/>
      <c r="N208" s="184"/>
    </row>
    <row r="209" spans="4:14" ht="20.100000000000001" customHeight="1" x14ac:dyDescent="0.2">
      <c r="D209" s="183"/>
      <c r="E209" s="99" t="str">
        <f>Translation!B170</f>
        <v>Résistance caractéristique de l'élément principal</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Résistance caractéristique aluminium</v>
      </c>
      <c r="F210" s="99" t="s">
        <v>443</v>
      </c>
      <c r="G210" s="99" t="s">
        <v>258</v>
      </c>
      <c r="H210" s="204">
        <f>IF(H99=2,(Axial!$AZ$6+secondo_Axial!$AZ$6)/1000,Axial!$AZ$6/1000)</f>
        <v>11.2</v>
      </c>
      <c r="I210" s="253"/>
      <c r="N210" s="184"/>
    </row>
    <row r="211" spans="4:14" ht="20.100000000000001" customHeight="1" x14ac:dyDescent="0.2">
      <c r="D211" s="183"/>
      <c r="E211" s="99" t="str">
        <f>Translation!B172</f>
        <v>Résistance caractéristique de l'élément secondaire</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Résistance caractéristique</v>
      </c>
      <c r="F213" s="197" t="s">
        <v>270</v>
      </c>
      <c r="G213" s="197" t="s">
        <v>258</v>
      </c>
      <c r="H213" s="207">
        <f>IF(H99=2,Axial!$BA$6+secondo_Axial!$BA$6,Axial!$BA$6)</f>
        <v>11.2</v>
      </c>
      <c r="I213" s="207"/>
      <c r="N213" s="184"/>
    </row>
    <row r="214" spans="4:14" ht="20.100000000000001" customHeight="1" x14ac:dyDescent="0.2">
      <c r="D214" s="183"/>
      <c r="E214" s="99" t="str">
        <f>Translation!B174</f>
        <v>Résistance du design</v>
      </c>
      <c r="F214" s="197" t="s">
        <v>271</v>
      </c>
      <c r="G214" s="197" t="s">
        <v>258</v>
      </c>
      <c r="H214" s="207">
        <f>MIN(($H$47*MIN(H209,H211))/$H$50,H210/H51)</f>
        <v>8.2772968986777951</v>
      </c>
      <c r="I214" s="207"/>
      <c r="N214" s="184"/>
    </row>
    <row r="215" spans="4:14" ht="20.100000000000001" customHeight="1" x14ac:dyDescent="0.2">
      <c r="D215" s="183"/>
      <c r="E215" s="99" t="str">
        <f>Translation!B35</f>
        <v>Action axiale</v>
      </c>
      <c r="F215" s="99" t="s">
        <v>1327</v>
      </c>
      <c r="G215" s="99" t="s">
        <v>258</v>
      </c>
      <c r="H215" s="204">
        <f>H58</f>
        <v>2</v>
      </c>
      <c r="I215" s="207"/>
      <c r="N215" s="184"/>
    </row>
    <row r="216" spans="4:14" ht="30" customHeight="1" x14ac:dyDescent="0.2">
      <c r="D216" s="183"/>
      <c r="E216" s="99" t="str">
        <f>Translation!B175</f>
        <v>Vérification de la connexion</v>
      </c>
      <c r="F216" s="392" t="str">
        <f>IF(H216&gt;1,Translation!B209,Translation!B208)</f>
        <v xml:space="preserve"> VÉRIFIÉ</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Cisaillement latéral (Flat)</v>
      </c>
      <c r="F219" s="197"/>
      <c r="N219" s="184"/>
    </row>
    <row r="220" spans="4:14" ht="9.9499999999999993" customHeight="1" x14ac:dyDescent="0.2">
      <c r="D220" s="183"/>
      <c r="F220" s="197"/>
      <c r="N220" s="184"/>
    </row>
    <row r="221" spans="4:14" ht="20.100000000000001" customHeight="1" x14ac:dyDescent="0.2">
      <c r="D221" s="183"/>
      <c r="E221" s="261" t="str">
        <f>Translation!B177</f>
        <v>Nombre effective de vis par élément secondaire ou primaire</v>
      </c>
      <c r="F221" s="99" t="s">
        <v>173</v>
      </c>
      <c r="G221" s="99" t="s">
        <v>262</v>
      </c>
      <c r="H221" s="204">
        <f>VLOOKUP(H65,Lateral!BM7:BP11,3,FALSE)</f>
        <v>20.9</v>
      </c>
      <c r="N221" s="184"/>
    </row>
    <row r="222" spans="4:14" ht="20.100000000000001" customHeight="1" x14ac:dyDescent="0.2">
      <c r="D222" s="183"/>
      <c r="E222" s="99" t="str">
        <f>Translation!B178</f>
        <v>Facteur de forme</v>
      </c>
      <c r="F222" s="99" t="s">
        <v>174</v>
      </c>
      <c r="G222" s="99" t="s">
        <v>262</v>
      </c>
      <c r="H222" s="262">
        <f>VLOOKUP(H65,Lateral!BM7:BP11,4,FALSE)</f>
        <v>227</v>
      </c>
      <c r="N222" s="184"/>
    </row>
    <row r="223" spans="4:14" ht="20.100000000000001" customHeight="1" x14ac:dyDescent="0.2">
      <c r="D223" s="183"/>
      <c r="E223" s="99" t="str">
        <f>Translation!B179</f>
        <v>Coefficient selon EN 1995-1-1, 6.1.5</v>
      </c>
      <c r="F223" s="99" t="s">
        <v>167</v>
      </c>
      <c r="G223" s="99" t="s">
        <v>262</v>
      </c>
      <c r="H223" s="262">
        <f>Lateral!AM32</f>
        <v>1</v>
      </c>
      <c r="N223" s="184"/>
    </row>
    <row r="224" spans="4:14" ht="20.100000000000001" customHeight="1" x14ac:dyDescent="0.2">
      <c r="D224" s="183"/>
      <c r="E224" s="99" t="str">
        <f>Translation!B180</f>
        <v>Coefficient selon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Résistance caractéristique</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Résistance du design</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Action latérale</v>
      </c>
      <c r="F228" s="99" t="s">
        <v>1328</v>
      </c>
      <c r="G228" s="99" t="s">
        <v>258</v>
      </c>
      <c r="H228" s="204">
        <f>H59</f>
        <v>1</v>
      </c>
      <c r="I228" s="244"/>
      <c r="N228" s="184"/>
    </row>
    <row r="229" spans="4:28" ht="30" customHeight="1" x14ac:dyDescent="0.2">
      <c r="D229" s="183"/>
      <c r="E229" s="99" t="str">
        <f>Translation!B183</f>
        <v>Vérification de la connexion</v>
      </c>
      <c r="F229" s="392" t="str">
        <f>IF(H229&gt;1,Translation!B209,Translation!B208)</f>
        <v xml:space="preserve"> VÉRIFIÉ</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Vérifications de conception en cas de sollicitations combinées</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Contrôle de contrainte de sollicitations combinées ?</v>
      </c>
      <c r="H235" s="297" t="s">
        <v>534</v>
      </c>
      <c r="I235" s="393" t="str">
        <f>IF(H235=AC165,Translation!B191," ")</f>
        <v>Sélectionnez les contraintes à prendre en compte dans le véhicule combiné.</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Cisaillement vertical</v>
      </c>
      <c r="F237" s="299" t="s">
        <v>450</v>
      </c>
      <c r="H237" s="297" t="s">
        <v>534</v>
      </c>
      <c r="N237" s="184"/>
      <c r="Z237" s="99" t="str">
        <f>H237</f>
        <v>Oui</v>
      </c>
      <c r="AA237" s="99" t="s">
        <v>450</v>
      </c>
      <c r="AB237" s="270">
        <f>H185</f>
        <v>6.8988172282819782E-2</v>
      </c>
    </row>
    <row r="238" spans="4:28" ht="20.100000000000001" customHeight="1" x14ac:dyDescent="0.2">
      <c r="D238" s="183"/>
      <c r="E238" s="299" t="str">
        <f>Translation!B187</f>
        <v>Cisaillement vertical du soulèvement</v>
      </c>
      <c r="F238" s="299" t="s">
        <v>451</v>
      </c>
      <c r="H238" s="297" t="s">
        <v>539</v>
      </c>
      <c r="N238" s="184"/>
      <c r="Z238" s="99" t="str">
        <f>H238</f>
        <v>Non</v>
      </c>
      <c r="AA238" s="99" t="s">
        <v>451</v>
      </c>
      <c r="AB238" s="270">
        <f>H204</f>
        <v>0.22468978795883335</v>
      </c>
    </row>
    <row r="239" spans="4:28" ht="20.100000000000001" customHeight="1" x14ac:dyDescent="0.2">
      <c r="D239" s="183"/>
      <c r="E239" s="299" t="str">
        <f>Translation!B188</f>
        <v>Action axiale</v>
      </c>
      <c r="F239" s="299" t="s">
        <v>452</v>
      </c>
      <c r="H239" s="297" t="s">
        <v>534</v>
      </c>
      <c r="N239" s="184"/>
      <c r="T239" s="99" t="s">
        <v>462</v>
      </c>
      <c r="U239" s="265">
        <f>H185^2</f>
        <v>4.7593679149240233E-3</v>
      </c>
      <c r="W239" s="99" t="s">
        <v>459</v>
      </c>
      <c r="X239" s="265">
        <f>U239+U241</f>
        <v>6.3141899764866519E-2</v>
      </c>
      <c r="Z239" s="99" t="str">
        <f>H239</f>
        <v>Oui</v>
      </c>
      <c r="AA239" s="99" t="s">
        <v>452</v>
      </c>
      <c r="AB239" s="270">
        <f>H216</f>
        <v>0.24162477490924331</v>
      </c>
    </row>
    <row r="240" spans="4:28" ht="20.100000000000001" customHeight="1" x14ac:dyDescent="0.2">
      <c r="D240" s="183"/>
      <c r="E240" s="299" t="str">
        <f>Translation!B189</f>
        <v>Cisaillement latéral</v>
      </c>
      <c r="F240" s="299" t="s">
        <v>453</v>
      </c>
      <c r="H240" s="297" t="s">
        <v>539</v>
      </c>
      <c r="N240" s="184"/>
      <c r="T240" s="99" t="s">
        <v>131</v>
      </c>
      <c r="U240" s="265">
        <f>H204^2</f>
        <v>5.0485500812985494E-2</v>
      </c>
      <c r="W240" s="99" t="s">
        <v>460</v>
      </c>
      <c r="X240" s="265">
        <f>U239+U241+U242</f>
        <v>6.4353739074090699E-2</v>
      </c>
      <c r="Z240" s="99" t="str">
        <f>H240</f>
        <v>Non</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Non</v>
      </c>
      <c r="AB241" s="270">
        <v>0</v>
      </c>
    </row>
    <row r="242" spans="4:28" ht="50.1" customHeight="1" x14ac:dyDescent="0.2">
      <c r="D242" s="183"/>
      <c r="E242" s="282" t="str">
        <f>Translation!B190</f>
        <v>Fv,d et Fup,d sont des forces qui agissent dans des directions opposées. C’est pourquoi seulement une des forces Fv,d et Fup,d peut agir en combinaison avec les forces Fax,d ou Flat,d.</v>
      </c>
      <c r="F242" s="392" t="str">
        <f>IF(H242&gt;1,Translation!B209,Translation!B208)</f>
        <v xml:space="preserve"> VÉRIFIÉ</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Sommaire de quantité et de codes du produit</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Nombre de connexions</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Code</v>
      </c>
      <c r="I248" s="344" t="str">
        <f>Translation!B195</f>
        <v>Quantité nécessaire</v>
      </c>
      <c r="J248" s="384"/>
      <c r="K248" s="385"/>
      <c r="L248" s="341"/>
      <c r="M248" s="342"/>
      <c r="N248" s="184"/>
    </row>
    <row r="249" spans="4:28" ht="20.100000000000001" customHeight="1" x14ac:dyDescent="0.2">
      <c r="D249" s="183"/>
      <c r="E249" s="388" t="str">
        <f>Translation!B197</f>
        <v>Connecteur à accroche invisible</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Deuxième connecteur caché, si les connecteurs sont accouplés</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Vis de fixation élément principal</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Vis fixations poutre secondaire</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Vis inclinées pour résistance au soulèvement et/ou latérale</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Connecteur LOCK STOP</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En cas de fraisage dans l'élément principal ou la poutre secondaire, il convient de faire particulièrement attention lors du fraisage afin de limiter le glissement latéral de la connexion.
Le dimensionnement et la vérification des éléments en bois seront effectués séparément. Tous les calculs doivent être vérifiés et approuvés par le concepteur responsable avant leur exécution. Le concepteur responsable ont le devoir de vérifier, à chaque utilisation, la conformité des données à la règlementation en vigueur et au projet. La responsabilité ultime du choix du produit approprié pour une application spécifique incombe au concepteur.</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Les indications fournies dans cet outil de calcul sont à titre indicatif. Cependant, toute responsabilité sur le projet (calcul) de connexion retombe sur le concepteur</v>
      </c>
      <c r="F291" s="372"/>
      <c r="G291" s="372"/>
      <c r="H291" s="372"/>
      <c r="I291" s="372"/>
      <c r="J291" s="372"/>
      <c r="K291" s="372"/>
      <c r="L291" s="372"/>
      <c r="M291" s="372"/>
      <c r="N291" s="184"/>
    </row>
    <row r="292" spans="4:14" ht="20.100000000000001" customHeight="1" x14ac:dyDescent="0.2">
      <c r="D292" s="183"/>
      <c r="E292" s="373" t="str">
        <f>Translation!B205</f>
        <v>La conception des éléments en bois doit être effectuée séparément du concepteur de la structure.</v>
      </c>
      <c r="F292" s="373"/>
      <c r="G292" s="373"/>
      <c r="H292" s="373"/>
      <c r="I292" s="373"/>
      <c r="J292" s="373"/>
      <c r="K292" s="373"/>
      <c r="L292" s="373"/>
      <c r="M292" s="373"/>
      <c r="N292" s="184"/>
    </row>
    <row r="293" spans="4:14" s="319" customFormat="1" ht="125.1" customHeight="1" x14ac:dyDescent="0.2">
      <c r="D293" s="317"/>
      <c r="E293" s="374" t="str">
        <f>Translation!B206</f>
        <v>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Géométrie et caractéristiques vis</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Type de vis</v>
      </c>
      <c r="C4" s="416"/>
      <c r="D4" s="417"/>
      <c r="E4" s="66" t="str">
        <f>Translation!B12</f>
        <v>Diamètre</v>
      </c>
      <c r="F4" s="67"/>
      <c r="G4" s="66" t="str">
        <f>Translation!B13</f>
        <v>Longueur</v>
      </c>
      <c r="H4" s="68" t="str">
        <f>CONCATENATE(Translation!B14," b")</f>
        <v>Filet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Bois</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Entaille colonne</v>
      </c>
      <c r="G1" s="99"/>
    </row>
    <row r="2" spans="1:13" ht="300" customHeight="1" x14ac:dyDescent="0.2">
      <c r="A2" s="99" t="str">
        <f>'LOCK-T'!AE61</f>
        <v>Entaille poutre secondaire</v>
      </c>
    </row>
    <row r="3" spans="1:13" ht="300" customHeight="1" x14ac:dyDescent="0.2">
      <c r="A3" s="99" t="s">
        <v>214</v>
      </c>
      <c r="G3" s="125"/>
      <c r="M3" s="99"/>
    </row>
    <row r="4" spans="1:13" ht="300" customHeight="1" x14ac:dyDescent="0.2">
      <c r="A4" s="99" t="str">
        <f>'LOCK-T'!AE62</f>
        <v>Vis inclinées</v>
      </c>
      <c r="M4" s="99"/>
    </row>
    <row r="5" spans="1:13" ht="300" customHeight="1" x14ac:dyDescent="0.2">
      <c r="A5" s="99" t="str">
        <f>'LOCK-T'!AB60</f>
        <v>Entaille poutre principale</v>
      </c>
      <c r="M5" s="99"/>
    </row>
    <row r="6" spans="1:13" ht="300" customHeight="1" x14ac:dyDescent="0.2">
      <c r="A6" s="99" t="str">
        <f>'LOCK-T'!AB61</f>
        <v>Entaille poutre secondaire</v>
      </c>
      <c r="M6" s="99"/>
    </row>
    <row r="7" spans="1:13" ht="300" customHeight="1" x14ac:dyDescent="0.2">
      <c r="A7" s="99" t="s">
        <v>214</v>
      </c>
    </row>
    <row r="8" spans="1:13" ht="300" customHeight="1" x14ac:dyDescent="0.2">
      <c r="A8" s="99" t="str">
        <f>'LOCK-T'!AB62</f>
        <v>Vis inclinées</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Poutre</v>
      </c>
      <c r="E10" s="125"/>
    </row>
    <row r="11" spans="1:13" ht="300" customHeight="1" x14ac:dyDescent="0.2">
      <c r="A11" s="3" t="str">
        <f>'LOCK-T'!AA54</f>
        <v>Poteau</v>
      </c>
    </row>
    <row r="12" spans="1:13" ht="99.95" customHeight="1" x14ac:dyDescent="0.2">
      <c r="A12" s="3" t="str">
        <f>'LOCK-T'!AC165</f>
        <v>Oui</v>
      </c>
    </row>
    <row r="13" spans="1:13" ht="120" customHeight="1" x14ac:dyDescent="0.2">
      <c r="A13" s="3" t="str">
        <f>'LOCK-T'!AB165</f>
        <v>Non</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Caractérisé par une humidité du matériau en équilibre avec l'environnement à une température de 20 °C et une humidité relative de l'air environnant qui ne dépasse pas 65 %, si ce n'est pendant quelques semaines par an.</v>
      </c>
    </row>
    <row r="18" spans="1:2" ht="39.950000000000003" customHeight="1" x14ac:dyDescent="0.2">
      <c r="A18" s="3">
        <v>2</v>
      </c>
      <c r="B18" s="213" t="str">
        <f>Translation!B126</f>
        <v>Elle se caractérise par une humidité du matériau en équilibre avec l'environnement à une température de 20 °C et une humidité relative de l'air environnant de plus de 85 % pendant seulement quelques semaines par an.</v>
      </c>
    </row>
    <row r="19" spans="1:2" ht="39.950000000000003" customHeight="1" x14ac:dyDescent="0.2">
      <c r="A19" s="3">
        <v>3</v>
      </c>
      <c r="B19" s="213" t="str">
        <f>Translation!B127</f>
        <v>L'humidité est supérieure à celle de la classe de service 2.</v>
      </c>
    </row>
    <row r="20" spans="1:2" ht="39.950000000000003" customHeight="1" x14ac:dyDescent="0.2"/>
    <row r="21" spans="1:2" ht="39.950000000000003" customHeight="1" x14ac:dyDescent="0.2">
      <c r="A21" s="3" t="s">
        <v>311</v>
      </c>
    </row>
    <row r="22" spans="1:2" ht="39.950000000000003" customHeight="1" x14ac:dyDescent="0.2">
      <c r="A22" s="3" t="str">
        <f>Translation!B128</f>
        <v>Permanente</v>
      </c>
      <c r="B22" s="213" t="str">
        <f>Translation!B133</f>
        <v>Poids propre et charges non amovibles pendant le fonctionnement normal de la structure.</v>
      </c>
    </row>
    <row r="23" spans="1:2" ht="39.950000000000003" customHeight="1" x14ac:dyDescent="0.2">
      <c r="A23" s="3" t="str">
        <f>Translation!B129</f>
        <v>Longue durée</v>
      </c>
      <c r="B23" s="213" t="str">
        <f>Translation!B134</f>
        <v>Les charges permanentes qui peuvent changer pendant le fonctionnement normal de la structure et les charges variables liées aux entrepôts et aux dépôts.</v>
      </c>
    </row>
    <row r="24" spans="1:2" ht="39.950000000000003" customHeight="1" x14ac:dyDescent="0.2">
      <c r="A24" s="3" t="str">
        <f>Translation!B130</f>
        <v>Moyenne durée</v>
      </c>
      <c r="B24" s="213" t="str">
        <f>Translation!B135</f>
        <v>Charges variables de bâtiments, à l'exception de celles relatives aux entrepôts et dépôts.</v>
      </c>
    </row>
    <row r="25" spans="1:2" ht="39.950000000000003" customHeight="1" x14ac:dyDescent="0.2">
      <c r="A25" s="3" t="str">
        <f>Translation!B131</f>
        <v>Courte durée</v>
      </c>
      <c r="B25" s="213" t="str">
        <f>Translation!B136</f>
        <v>Action moyenne du vent.</v>
      </c>
    </row>
    <row r="26" spans="1:2" ht="39.950000000000003" customHeight="1" x14ac:dyDescent="0.2">
      <c r="A26" s="3" t="str">
        <f>Translation!B132</f>
        <v>Instantanée</v>
      </c>
      <c r="B26" s="213" t="str">
        <f>Translation!B137</f>
        <v>Des vents forts et des scènes d'action incroyables.</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FR</v>
      </c>
      <c r="D1" s="332" t="s">
        <v>525</v>
      </c>
      <c r="E1" s="332" t="s">
        <v>526</v>
      </c>
      <c r="F1" s="332" t="s">
        <v>527</v>
      </c>
      <c r="G1" s="332" t="s">
        <v>528</v>
      </c>
      <c r="H1" s="332" t="s">
        <v>529</v>
      </c>
      <c r="I1" s="332" t="s">
        <v>530</v>
      </c>
      <c r="R1" s="332"/>
    </row>
    <row r="2" spans="1:19" ht="30" customHeight="1" x14ac:dyDescent="0.2">
      <c r="A2" s="2">
        <v>2</v>
      </c>
      <c r="B2" s="331" t="str">
        <f>HLOOKUP($B$1,$D$1:$I$206,A2,FALSE)</f>
        <v>Oui</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Non</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Poutre</v>
      </c>
      <c r="D4" s="331" t="s">
        <v>3</v>
      </c>
      <c r="E4" s="331" t="s">
        <v>541</v>
      </c>
      <c r="F4" s="333" t="s">
        <v>542</v>
      </c>
      <c r="G4" s="331" t="s">
        <v>543</v>
      </c>
      <c r="H4" s="331" t="s">
        <v>544</v>
      </c>
      <c r="I4" s="331" t="s">
        <v>544</v>
      </c>
      <c r="R4" s="331"/>
      <c r="S4">
        <f t="shared" si="1"/>
        <v>1111</v>
      </c>
    </row>
    <row r="5" spans="1:19" ht="30" customHeight="1" x14ac:dyDescent="0.2">
      <c r="A5" s="2">
        <v>5</v>
      </c>
      <c r="B5" s="331" t="str">
        <f t="shared" si="0"/>
        <v>Poteau</v>
      </c>
      <c r="D5" s="331" t="s">
        <v>240</v>
      </c>
      <c r="E5" s="331" t="s">
        <v>545</v>
      </c>
      <c r="F5" s="333" t="s">
        <v>546</v>
      </c>
      <c r="G5" s="331" t="s">
        <v>547</v>
      </c>
      <c r="H5" s="331" t="s">
        <v>548</v>
      </c>
      <c r="I5" s="331" t="s">
        <v>548</v>
      </c>
      <c r="R5" s="331"/>
      <c r="S5">
        <f t="shared" si="1"/>
        <v>1111</v>
      </c>
    </row>
    <row r="6" spans="1:19" ht="30" customHeight="1" x14ac:dyDescent="0.2">
      <c r="A6" s="2">
        <v>6</v>
      </c>
      <c r="B6" s="331" t="str">
        <f t="shared" si="0"/>
        <v>Entaille colonne</v>
      </c>
      <c r="D6" s="331" t="s">
        <v>217</v>
      </c>
      <c r="E6" s="331" t="s">
        <v>180</v>
      </c>
      <c r="F6" s="333" t="s">
        <v>1134</v>
      </c>
      <c r="G6" s="331" t="s">
        <v>549</v>
      </c>
      <c r="H6" s="331" t="s">
        <v>550</v>
      </c>
      <c r="I6" s="331" t="s">
        <v>551</v>
      </c>
      <c r="R6" s="331"/>
      <c r="S6">
        <f t="shared" si="1"/>
        <v>1111</v>
      </c>
    </row>
    <row r="7" spans="1:19" ht="30" customHeight="1" x14ac:dyDescent="0.2">
      <c r="A7" s="2">
        <v>7</v>
      </c>
      <c r="B7" s="331" t="str">
        <f t="shared" si="0"/>
        <v>Entaille poutre principale</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Entaille poutre secondaire</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Vis inclinées</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Géométrie et caractéristiques vis</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Type de vis</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Diamètre</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Longueur</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Filet</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Bois</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POURCENTAGE D'UTILISATION DE LA CONNEXION</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Cisaillement verticale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Cisaillement de soulèvement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Sollicitation combinée</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Axiale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Cisaillement latéral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CALCUL CONNECTEUR À ACCROCHE CACHÉ BOIS - BOIS LOCK-T</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Informations générales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Date</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Technico commerciale RothoBlaas</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Projet</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Concepteur</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Norme de calcul</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Assemblage n°</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Notes</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Sollicitations du projet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Action de cisaillement verticale</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Action de cisaillement pour le soulèvement</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Action axiale</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Action latérale</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Éléments en bois</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Élément principal</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Base de la poutre</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Base du poteau</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Hauteur de la poutre</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Profondeur du poteau</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Type de bois</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Orientation élément principal</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Poutre ou poteau :</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 xml:space="preserve">Classe de résistance pour le bois </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Masse volumique caractéristique</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Résistance caractéristique à compression parallèle au fil</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Résistance caractéristique à compression perpendiculaire au fil</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Résistance caractéristique au cisaillement roulant (perpendiculaire à la fibre)</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Résistance caractéristique au cisaillement</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Pour les vis sur poteau, le pré-perçage est toujours obligatoire.</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Pour les vis de fixation sur élément en bois avec une densité caractéristique ρk&gt;420 kg/m3, le pré-perçage est nécessaire.</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Élément secondaire</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Base de la poutre</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Hauteur de la poutre</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Type de bois</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Angle dans le plan vertical</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Pour les angles élevés, vérifier que les vis ne dépassent pas des sections géométriquement.</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 xml:space="preserve">Classe de résistance pour le bois </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Masse volumique caractéristique</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Résistance caractéristique à compression parallèle au fil</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Résistance caractéristique à compression perpendiculaire au fil</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Résistance caractéristique au cisaillement roulant (perpendiculaire à la fibre)</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Résistance caractéristique au cisaillement</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Pour les vis de fixation sur élément en bois avec une densité caractéristique ρk&gt;420 kg/m3, le pré-perçage est nécessaire.</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Choix du connecteur et des vis</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Choix du connecteur</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Version avec revêtement C4 EVO</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Accouplement des connecteurs : nombre de connecteurs</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Les connecteurs accouplés doivent avoir la même hauteur !</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Code du connecteur utilisé</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Nombre de modules de base selon ETA-19/0831</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Base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Hauteur</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Épaisseur</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Trous</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Zone de contact entre le connecteur LOCK T et la tête ou la colonne</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Longueur du connecteur LOCK T</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Facteur de forme</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Code disponible sur demande spéciale</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Code disponible sur demande spéciale</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Accouplement des connecteurs :</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Vis de fixation élément principal</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Code vis élément principal</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Diamètre nominal</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Diamètre noyau</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Diamètre tête</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Longueur</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Longueur filet</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Résistance caractéristique à l’arrachement</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Densité associée</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Résistance caractéristique à la traction</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Moment plastique caractéristique</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Vis fixations poutre secondaire</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Configuration Flat :</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Code vis de poutre secondaire</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Diamètre nominal</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Diamètre noyau</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Diamètre tête</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Longueur</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Longueur filet</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Résistance caractéristique à l’arrachement</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Densité associée</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Résistance caractéristique à la traction</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Moment plastique caractéristique</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Configuration pour résistance latérale</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Type de connecteur LOCK STOP</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Vis inclinées pour résistance au soulèvement et/ou latérale</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Nombre de vis inclinées</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Code vis</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Diamètre nominal</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Diamètre noyau</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Diamètre tête</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Longueur</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Longueur filet</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Résistance caractéristique à l’arrachement</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Densité associée</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Résistance caractéristique à la traction</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Moment plastique caractéristique</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Combinaisons</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Classes de service</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Classe de durée de la charge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Coefficient kmod</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Caractérisé par une humidité du matériau en équilibre avec l'environnement à une température de 20 °C et une humidité relative de l'air environnant qui ne dépasse pas 65 %, si ce n'est pendant quelques semaines par an.</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Elle se caractérise par une humidité du matériau en équilibre avec l'environnement à une température de 20 °C et une humidité relative de l'air environnant de plus de 85 % pendant seulement quelques semaines par an.</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L'humidité est supérieure à celle de la classe de service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Permanente</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Longue durée</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Moyenne durée</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Courte durée</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Instantanée</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Poids propre et charges non amovibles pendant le fonctionnement normal de la structure.</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Les charges permanentes qui peuvent changer pendant le fonctionnement normal de la structure et les charges variables liées aux entrepôts et aux dépôts.</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Charges variables de bâtiments, à l'exception de celles relatives aux entrepôts et dépôts.</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Action moyenne du vent.</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Des vents forts et des scènes d'action incroyables.</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Production contrôlée en continu (COV &lt; 15 %)</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Coefficient de sécurité de connexion</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Coefficient de sécurité aluminium</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Vérifications de conception pour les directions individuelles</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Le dimensionnement et la capacité des éléments en bois seront effectués séparément. En particulier, pour des charges perpendiculaires à l’axe des poutres, il est conseillé d’effectuer un contrôle séparé sur les deux éléments en bois.</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Cisaillement verticale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Résistance caractéristique à la pression diamétrale de l'élément principal</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Capacité axiale caractéristique d'une vis sur un élément principal</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Capacité de charge caractéristique par plan de cisaillement pour la fixation de l'élément principal</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Facteur de forme</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Résistance caractéristique de l'élément principal</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Résistance caractéristique aluminium</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Résistance caractéristique à la pression diamétrale de l'élément secondaire</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Capacité axiale caractéristique d'une vis sur un élément secondaire</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Capacité de charge caractéristique par plan de cisaillement pour la fixation de l'élément secondaire</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Résistance caractéristique de l'élément secondaire</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Résistance caractéristique</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Résistance du design</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Vérification de la connexion</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Cisaillement vertical du soulèvement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Résistance caractéristique au refoulement</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Capacité axiale caractéristique d'une vis inclinée</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Résistance caractéristique de l'élément principal</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Résistance caractéristique aluminium</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Résistance caractéristique à la contrainte portante</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Capacité axiale caractéristique d'une vis inclinée</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Capacité de charge caractéristique pour le plan de cisaillement pour la fixation de l'élément secondaire</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Résistance caractéristique de l'élément secondaire</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Résistance caractéristique</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Résistance du design</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Vérification de la connexion</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Axiale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Résistance caractéristique de l'élément principal</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Résistance caractéristique aluminium</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Résistance caractéristique de l'élément secondaire</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Résistance caractéristique</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Résistance du design</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Vérification de la connexion</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Cisaillement latéral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Nombre effective de vis par élément secondaire ou primaire</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Facteur de forme</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Coefficient selon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Coefficient selon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Résistance caractéristique</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Résistance du design</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Vérification de la connexion</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Vérifications de conception en cas de sollicitations combinées</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Contrôle de contrainte de sollicitations combinées ?</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Cisaillement vertical</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Cisaillement vertical du soulèvement</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Action axiale</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Cisaillement latéral</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et Fup,d sont des forces qui agissent dans des directions opposées. C’est pourquoi seulement une des forces Fv,d et Fup,d peut agir en combinaison avec les forces Fax,d ou Flat,d.</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Sélectionnez les contraintes à prendre en compte dans le véhicule combiné.</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Sommaire de quantité et de codes du produit</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Nombre de connexions</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Code</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Quantité nécessaire</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pcs.</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Connecteur à accroche invisible</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Deuxième connecteur caché, si les connecteurs sont accouplés</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Vis de fixation élément principal</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Vis fixations poutre secondaire</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Vis inclinées pour résistance au soulèvement et/ou latérale</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Connecteur LOCK STOP</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En cas de fraisage dans l'élément principal ou la poutre secondaire, il convient de faire particulièrement attention lors du fraisage afin de limiter le glissement latéral de la connexion.
Le dimensionnement et la vérification des éléments en bois seront effectués séparément. Tous les calculs doivent être vérifiés et approuvés par le concepteur responsable avant leur exécution. Le concepteur responsable ont le devoir de vérifier, à chaque utilisation, la conformité des données à la règlementation en vigueur et au projet. La responsabilité ultime du choix du produit approprié pour une application spécifique incombe au concepteur.</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Les indications fournies dans cet outil de calcul sont à titre indicatif. Cependant, toute responsabilité sur le projet (calcul) de connexion retombe sur le concepteur</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La conception des éléments en bois doit être effectuée séparément du concepteur de la structure.</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élément trop petit pour le connecteur sélectionné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 xml:space="preserve"> VÉRIFIÉ</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NON VÉRIFIÉ</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Fraisage pour le boîtier du connecteur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Entaille poutre principale</v>
      </c>
      <c r="BE7" s="99" t="s">
        <v>179</v>
      </c>
      <c r="BF7" s="138" t="s">
        <v>222</v>
      </c>
      <c r="BG7" s="160">
        <f>AU6</f>
        <v>46.68</v>
      </c>
      <c r="BH7" s="348">
        <f>(BG7*'LOCK-T'!$H$47)/'LOCK-T'!$H$50</f>
        <v>28.726153846153846</v>
      </c>
      <c r="BM7" s="99" t="str">
        <f>Translation!B7</f>
        <v>Entaille poutre principale</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Entaille colonne</v>
      </c>
      <c r="BE8" s="99" t="s">
        <v>180</v>
      </c>
      <c r="BF8" s="138" t="s">
        <v>223</v>
      </c>
      <c r="BG8" s="160">
        <f>AV6</f>
        <v>4.8624999999999998</v>
      </c>
      <c r="BH8" s="348">
        <f>(BG8*'LOCK-T'!$H$47)/'LOCK-T'!$H$50</f>
        <v>2.9923076923076923</v>
      </c>
      <c r="BM8" s="99" t="str">
        <f>Translation!B6</f>
        <v>Entaille colonne</v>
      </c>
      <c r="BN8" s="99" t="s">
        <v>180</v>
      </c>
      <c r="BO8">
        <f>IF('LOCK-T'!H99=1,nef,secondo_Lateral!AD12)</f>
        <v>20.9</v>
      </c>
      <c r="BP8" s="76">
        <f>IF('LOCK-T'!H99=1,klat,secondo_Lateral!AE12)</f>
        <v>227</v>
      </c>
    </row>
    <row r="9" spans="3:68" ht="14.25" x14ac:dyDescent="0.2">
      <c r="BD9" s="99" t="str">
        <f>Translation!B8</f>
        <v>Entaille poutre secondaire</v>
      </c>
      <c r="BE9" s="99" t="s">
        <v>181</v>
      </c>
      <c r="BF9" s="138" t="s">
        <v>224</v>
      </c>
      <c r="BG9" s="160">
        <f>AZ32</f>
        <v>9.7249999999999996</v>
      </c>
      <c r="BH9" s="348">
        <f>(BG9*'LOCK-T'!$H$47)/'LOCK-T'!$H$50</f>
        <v>5.9846153846153847</v>
      </c>
      <c r="BM9" s="99" t="str">
        <f>Translation!B8</f>
        <v>Entaille poutre secondaire</v>
      </c>
      <c r="BN9" s="99" t="s">
        <v>181</v>
      </c>
      <c r="BO9" s="76">
        <f>IF('LOCK-T'!H99=1,AD32,secondo_Lateral!AD38)</f>
        <v>20.9</v>
      </c>
      <c r="BP9" s="76">
        <f>IF('LOCK-T'!H99=1,AE32,secondo_Lateral!AE38)</f>
        <v>227</v>
      </c>
    </row>
    <row r="10" spans="3:68" ht="14.25" x14ac:dyDescent="0.2">
      <c r="BD10" s="99" t="str">
        <f>Translation!B9</f>
        <v>Vis inclinées</v>
      </c>
      <c r="BE10" s="99" t="s">
        <v>215</v>
      </c>
      <c r="BF10" s="138" t="s">
        <v>225</v>
      </c>
      <c r="BG10" s="160">
        <f>BF83</f>
        <v>4.856590093446794</v>
      </c>
      <c r="BH10" s="348">
        <f>(BG10*'LOCK-T'!$H$47)/'LOCK-T'!$H$50</f>
        <v>2.9886708267364885</v>
      </c>
      <c r="BM10" s="99" t="str">
        <f>Translation!B9</f>
        <v>Vis inclinées</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