
<file path=[Content_Types].xml><?xml version="1.0" encoding="utf-8"?>
<Types xmlns="http://schemas.openxmlformats.org/package/2006/content-types">
  <Default Extension="bin" ContentType="application/vnd.openxmlformats-officedocument.spreadsheetml.printerSettings"/>
  <Default Extension="glb" ContentType="model/gltf.binary"/>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codeName="{1BF75E64-36B4-4512-B9E4-3ED0869CA821}"/>
  <workbookPr codeName="Questa_cartella_di_lavoro" defaultThemeVersion="166925"/>
  <mc:AlternateContent xmlns:mc="http://schemas.openxmlformats.org/markup-compatibility/2006">
    <mc:Choice Requires="x15">
      <x15ac:absPath xmlns:x15ac="http://schemas.microsoft.com/office/spreadsheetml/2010/11/ac" url="C:\Users\MarcoG\Desktop\EXCEL\LOCK\lingue\"/>
    </mc:Choice>
  </mc:AlternateContent>
  <xr:revisionPtr revIDLastSave="0" documentId="8_{56E032B1-66E9-4EF1-B340-FFB66469399D}" xr6:coauthVersionLast="47" xr6:coauthVersionMax="47" xr10:uidLastSave="{00000000-0000-0000-0000-000000000000}"/>
  <workbookProtection workbookAlgorithmName="SHA-512" workbookHashValue="SlUucUPv7MuQVr06GwcdqgEoupF1z6V00Fap4gzeyuKjR9ybhTvfwRlwoKg4/vl5u4Z01MZSa8rS5yrn93Ryxg==" workbookSaltValue="pXWsh+lHLERC9AYH0X9B8A==" workbookSpinCount="100000" lockStructure="1"/>
  <bookViews>
    <workbookView xWindow="-120" yWindow="-120" windowWidth="29040" windowHeight="15720" tabRatio="881" xr2:uid="{00000000-000D-0000-FFFF-FFFF00000000}"/>
  </bookViews>
  <sheets>
    <sheet name="CONDITIONS" sheetId="103" r:id="rId1"/>
    <sheet name="LOCK-T" sheetId="92" r:id="rId2"/>
    <sheet name="Screws" sheetId="8" r:id="rId3"/>
    <sheet name="Data" sheetId="6" r:id="rId4"/>
    <sheet name="Foglio2" sheetId="97" state="hidden" r:id="rId5"/>
    <sheet name="Translation" sheetId="102" state="hidden" r:id="rId6"/>
    <sheet name="secondo_V_downward" sheetId="98" state="hidden" r:id="rId7"/>
    <sheet name="V_downward" sheetId="93" state="hidden" r:id="rId8"/>
    <sheet name="Lateral" sheetId="96" state="hidden" r:id="rId9"/>
    <sheet name="secondo_Lateral" sheetId="101" state="hidden" r:id="rId10"/>
    <sheet name="Uplift" sheetId="94" state="hidden" r:id="rId11"/>
    <sheet name="secondo_Uplift" sheetId="100" state="hidden" r:id="rId12"/>
    <sheet name="Axial" sheetId="95" state="hidden" r:id="rId13"/>
    <sheet name="secondo_Axial" sheetId="99" state="hidden" r:id="rId14"/>
  </sheets>
  <definedNames>
    <definedName name="a">#N/A</definedName>
    <definedName name="_xlnm.Print_Area" localSheetId="3">Data!$B$2:$H$44</definedName>
    <definedName name="_xlnm.Print_Area" localSheetId="1">'LOCK-T'!$D$2:$N$300</definedName>
    <definedName name="_xlnm.Print_Area" localSheetId="2">Screws!$B$3:$J$34</definedName>
    <definedName name="B">"#REF!"</definedName>
    <definedName name="CHIODI">#N/A</definedName>
    <definedName name="combi">INDEX(IF('LOCK-T'!$H$235='LOCK-T'!$AB$165,Foglio2!$G$34:$G$45,Foglio2!$G$34:$G$44),MATCH('LOCK-T'!$W$233,Foglio2!$F$34:$F$45,0))</definedName>
    <definedName name="Esacc">#N/A</definedName>
    <definedName name="eseacc">#N/A</definedName>
    <definedName name="h0">"#REF!"</definedName>
    <definedName name="kiodi">#N/A</definedName>
    <definedName name="klat" localSheetId="9">secondo_Lateral!$AE$6</definedName>
    <definedName name="klat">Lateral!$AE$6</definedName>
    <definedName name="LateralFix">INDEX(IF('LOCK-T'!$H$72='LOCK-T'!$AA$54,IF('LOCK-T'!$H$99=1,Foglio2!$B$1:$B$4,Foglio2!$B$49:$B$52),IF('LOCK-T'!$H$99=1,Foglio2!$B$5:$B$9,Foglio2!$B$53:$B$57)),MATCH('LOCK-T'!$H$65,Foglio2!$A$1:$A$8,0))</definedName>
    <definedName name="LAYER">#REF!</definedName>
    <definedName name="lingua">INDEX(Translation!$M$9:$M$14,MATCH('LOCK-T'!$M$34:$M$35,Translation!$L$9:$L$14,0))</definedName>
    <definedName name="LOCKTEVO">INDEX(Foglio2!$B$12:$B$13,MATCH('LOCK-T'!$H$98,Foglio2!$A$12:$A$13,0))</definedName>
    <definedName name="luce">"#REF!"</definedName>
    <definedName name="MainElement">INDEX(Foglio2!$B$5:$B$11,MATCH('LOCK-T'!$H$72,Foglio2!$A$5:$A$11,0))</definedName>
    <definedName name="nef" localSheetId="9">secondo_Lateral!$AD$6</definedName>
    <definedName name="nef">Lateral!$AD$6</definedName>
    <definedName name="Q">"#REF!"</definedName>
    <definedName name="Racc">#N/A</definedName>
    <definedName name="raggio">"#REF!"</definedName>
    <definedName name="Rcls">#N/A</definedName>
    <definedName name="SCREWS">#REF!</definedName>
    <definedName name="soluzione2">#N/A</definedName>
    <definedName name="unodue">INDEX(Foglio2!$B$29:$B$30,MATCH('LOCK-T'!$H$99,Foglio2!$A$29:$A$30,0))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7" i="92" l="1"/>
  <c r="B1" i="102"/>
  <c r="S210" i="102"/>
  <c r="H228" i="92"/>
  <c r="H215" i="92"/>
  <c r="H203" i="92"/>
  <c r="H184" i="92"/>
  <c r="AL34" i="8" l="1"/>
  <c r="AK34" i="8"/>
  <c r="AH34" i="8"/>
  <c r="AO34" i="8" s="1"/>
  <c r="AP33" i="8"/>
  <c r="AO33" i="8"/>
  <c r="AL33" i="8"/>
  <c r="AK33" i="8"/>
  <c r="AH33" i="8"/>
  <c r="AJ33" i="8" s="1"/>
  <c r="AI33" i="8" l="1"/>
  <c r="AP34" i="8"/>
  <c r="AI34" i="8"/>
  <c r="AJ34" i="8"/>
  <c r="I34" i="8" l="1"/>
  <c r="J34" i="8"/>
  <c r="J31" i="8"/>
  <c r="J32" i="8" s="1"/>
  <c r="I31" i="8"/>
  <c r="I32" i="8" s="1"/>
  <c r="C34" i="8"/>
  <c r="C33" i="8"/>
  <c r="C32" i="8"/>
  <c r="C31" i="8"/>
  <c r="C30" i="8"/>
  <c r="S2" i="102"/>
  <c r="S3" i="102"/>
  <c r="S4" i="102"/>
  <c r="S5" i="102"/>
  <c r="S6" i="102"/>
  <c r="S7" i="102"/>
  <c r="S8" i="102"/>
  <c r="S9" i="102"/>
  <c r="S10" i="102"/>
  <c r="S11" i="102"/>
  <c r="S12" i="102"/>
  <c r="S13" i="102"/>
  <c r="S14" i="102"/>
  <c r="S15" i="102"/>
  <c r="S16" i="102"/>
  <c r="S17" i="102"/>
  <c r="S18" i="102"/>
  <c r="S19" i="102"/>
  <c r="S20" i="102"/>
  <c r="S21" i="102"/>
  <c r="S22" i="102"/>
  <c r="S23" i="102"/>
  <c r="S24" i="102"/>
  <c r="S25" i="102"/>
  <c r="S26" i="102"/>
  <c r="S27" i="102"/>
  <c r="S28" i="102"/>
  <c r="S29" i="102"/>
  <c r="S30" i="102"/>
  <c r="S31" i="102"/>
  <c r="S32" i="102"/>
  <c r="S33" i="102"/>
  <c r="S34" i="102"/>
  <c r="S35" i="102"/>
  <c r="S36" i="102"/>
  <c r="S37" i="102"/>
  <c r="S38" i="102"/>
  <c r="S39" i="102"/>
  <c r="S40" i="102"/>
  <c r="S41" i="102"/>
  <c r="S42" i="102"/>
  <c r="S43" i="102"/>
  <c r="S44" i="102"/>
  <c r="S45" i="102"/>
  <c r="S46" i="102"/>
  <c r="S47" i="102"/>
  <c r="S48" i="102"/>
  <c r="S49" i="102"/>
  <c r="S50" i="102"/>
  <c r="S51" i="102"/>
  <c r="S52" i="102"/>
  <c r="S53" i="102"/>
  <c r="S54" i="102"/>
  <c r="S55" i="102"/>
  <c r="S56" i="102"/>
  <c r="S57" i="102"/>
  <c r="S58" i="102"/>
  <c r="S59" i="102"/>
  <c r="S60" i="102"/>
  <c r="S61" i="102"/>
  <c r="S62" i="102"/>
  <c r="S63" i="102"/>
  <c r="S64" i="102"/>
  <c r="S65" i="102"/>
  <c r="S66" i="102"/>
  <c r="S67" i="102"/>
  <c r="S68" i="102"/>
  <c r="S69" i="102"/>
  <c r="S70" i="102"/>
  <c r="S71" i="102"/>
  <c r="S72" i="102"/>
  <c r="S73" i="102"/>
  <c r="S74" i="102"/>
  <c r="S75" i="102"/>
  <c r="S76" i="102"/>
  <c r="S77" i="102"/>
  <c r="S78" i="102"/>
  <c r="S79" i="102"/>
  <c r="S80" i="102"/>
  <c r="S81" i="102"/>
  <c r="S82" i="102"/>
  <c r="S83" i="102"/>
  <c r="S84" i="102"/>
  <c r="S85" i="102"/>
  <c r="S86" i="102"/>
  <c r="S87" i="102"/>
  <c r="S88" i="102"/>
  <c r="S89" i="102"/>
  <c r="S90" i="102"/>
  <c r="S91" i="102"/>
  <c r="S92" i="102"/>
  <c r="S93" i="102"/>
  <c r="S94" i="102"/>
  <c r="S95" i="102"/>
  <c r="S96" i="102"/>
  <c r="S97" i="102"/>
  <c r="S98" i="102"/>
  <c r="S99" i="102"/>
  <c r="S100" i="102"/>
  <c r="S101" i="102"/>
  <c r="S102" i="102"/>
  <c r="S103" i="102"/>
  <c r="S104" i="102"/>
  <c r="S105" i="102"/>
  <c r="S106" i="102"/>
  <c r="S107" i="102"/>
  <c r="S108" i="102"/>
  <c r="S109" i="102"/>
  <c r="S110" i="102"/>
  <c r="S111" i="102"/>
  <c r="S112" i="102"/>
  <c r="S113" i="102"/>
  <c r="S114" i="102"/>
  <c r="S115" i="102"/>
  <c r="S116" i="102"/>
  <c r="S117" i="102"/>
  <c r="S118" i="102"/>
  <c r="S119" i="102"/>
  <c r="S120" i="102"/>
  <c r="S121" i="102"/>
  <c r="S122" i="102"/>
  <c r="S123" i="102"/>
  <c r="S124" i="102"/>
  <c r="S125" i="102"/>
  <c r="S126" i="102"/>
  <c r="S127" i="102"/>
  <c r="S128" i="102"/>
  <c r="S129" i="102"/>
  <c r="S130" i="102"/>
  <c r="S131" i="102"/>
  <c r="S132" i="102"/>
  <c r="S133" i="102"/>
  <c r="S134" i="102"/>
  <c r="S135" i="102"/>
  <c r="S136" i="102"/>
  <c r="S137" i="102"/>
  <c r="S138" i="102"/>
  <c r="S139" i="102"/>
  <c r="S140" i="102"/>
  <c r="S141" i="102"/>
  <c r="S142" i="102"/>
  <c r="S143" i="102"/>
  <c r="S144" i="102"/>
  <c r="S145" i="102"/>
  <c r="S146" i="102"/>
  <c r="S147" i="102"/>
  <c r="S148" i="102"/>
  <c r="S149" i="102"/>
  <c r="S150" i="102"/>
  <c r="S151" i="102"/>
  <c r="S152" i="102"/>
  <c r="S153" i="102"/>
  <c r="S154" i="102"/>
  <c r="S155" i="102"/>
  <c r="S156" i="102"/>
  <c r="S157" i="102"/>
  <c r="S158" i="102"/>
  <c r="S159" i="102"/>
  <c r="S160" i="102"/>
  <c r="S161" i="102"/>
  <c r="S162" i="102"/>
  <c r="S163" i="102"/>
  <c r="S164" i="102"/>
  <c r="S165" i="102"/>
  <c r="S166" i="102"/>
  <c r="S167" i="102"/>
  <c r="S168" i="102"/>
  <c r="S169" i="102"/>
  <c r="S170" i="102"/>
  <c r="S171" i="102"/>
  <c r="S172" i="102"/>
  <c r="S173" i="102"/>
  <c r="S174" i="102"/>
  <c r="S175" i="102"/>
  <c r="S176" i="102"/>
  <c r="S177" i="102"/>
  <c r="S178" i="102"/>
  <c r="S179" i="102"/>
  <c r="S180" i="102"/>
  <c r="S181" i="102"/>
  <c r="S182" i="102"/>
  <c r="S183" i="102"/>
  <c r="S184" i="102"/>
  <c r="S185" i="102"/>
  <c r="S186" i="102"/>
  <c r="S187" i="102"/>
  <c r="S188" i="102"/>
  <c r="S189" i="102"/>
  <c r="S190" i="102"/>
  <c r="S191" i="102"/>
  <c r="S192" i="102"/>
  <c r="S193" i="102"/>
  <c r="S194" i="102"/>
  <c r="S195" i="102"/>
  <c r="S196" i="102"/>
  <c r="S197" i="102"/>
  <c r="S198" i="102"/>
  <c r="S199" i="102"/>
  <c r="S200" i="102"/>
  <c r="S201" i="102"/>
  <c r="S202" i="102"/>
  <c r="S203" i="102"/>
  <c r="S204" i="102"/>
  <c r="S205" i="102"/>
  <c r="S206" i="102"/>
  <c r="S207" i="102"/>
  <c r="S208" i="102"/>
  <c r="S209" i="102"/>
  <c r="M13" i="96" l="1"/>
  <c r="B13" i="102" l="1"/>
  <c r="G4" i="8" s="1"/>
  <c r="B209" i="102"/>
  <c r="B210" i="102"/>
  <c r="F67" i="92" s="1"/>
  <c r="B207" i="102"/>
  <c r="I83" i="92" s="1"/>
  <c r="B208" i="102"/>
  <c r="B5" i="102"/>
  <c r="AA54" i="92" s="1"/>
  <c r="B202" i="102"/>
  <c r="E256" i="92" s="1"/>
  <c r="B194" i="102"/>
  <c r="H248" i="92" s="1"/>
  <c r="B186" i="102"/>
  <c r="E237" i="92" s="1"/>
  <c r="B178" i="102"/>
  <c r="E222" i="92" s="1"/>
  <c r="B170" i="102"/>
  <c r="E209" i="92" s="1"/>
  <c r="B162" i="102"/>
  <c r="E196" i="92" s="1"/>
  <c r="B154" i="102"/>
  <c r="E182" i="92" s="1"/>
  <c r="B146" i="102"/>
  <c r="E171" i="92" s="1"/>
  <c r="B138" i="102"/>
  <c r="E49" i="92" s="1"/>
  <c r="B130" i="102"/>
  <c r="B122" i="102"/>
  <c r="E45" i="92" s="1"/>
  <c r="B114" i="102"/>
  <c r="E147" i="92" s="1"/>
  <c r="B106" i="102"/>
  <c r="E135" i="92" s="1"/>
  <c r="B98" i="102"/>
  <c r="E127" i="92" s="1"/>
  <c r="B90" i="102"/>
  <c r="E118" i="92" s="1"/>
  <c r="B82" i="102"/>
  <c r="B74" i="102"/>
  <c r="E103" i="92" s="1"/>
  <c r="B66" i="102"/>
  <c r="I88" i="92" s="1"/>
  <c r="B58" i="102"/>
  <c r="E86" i="92" s="1"/>
  <c r="B50" i="102"/>
  <c r="E78" i="92" s="1"/>
  <c r="B42" i="102"/>
  <c r="B34" i="102"/>
  <c r="B26" i="102"/>
  <c r="E35" i="92" s="1"/>
  <c r="B18" i="102"/>
  <c r="E3" i="92" s="1"/>
  <c r="B7" i="102"/>
  <c r="B180" i="102"/>
  <c r="E224" i="92" s="1"/>
  <c r="B132" i="102"/>
  <c r="B92" i="102"/>
  <c r="E120" i="92" s="1"/>
  <c r="B60" i="102"/>
  <c r="B20" i="102"/>
  <c r="E5" i="92" s="1"/>
  <c r="B187" i="102"/>
  <c r="E238" i="92" s="1"/>
  <c r="B155" i="102"/>
  <c r="E183" i="92" s="1"/>
  <c r="B107" i="102"/>
  <c r="E65" i="92" s="1"/>
  <c r="B75" i="102"/>
  <c r="E104" i="92" s="1"/>
  <c r="B35" i="102"/>
  <c r="B193" i="102"/>
  <c r="E246" i="92" s="1"/>
  <c r="B145" i="102"/>
  <c r="E170" i="92" s="1"/>
  <c r="B121" i="102"/>
  <c r="E43" i="92" s="1"/>
  <c r="B105" i="102"/>
  <c r="E134" i="92" s="1"/>
  <c r="B97" i="102"/>
  <c r="E126" i="92" s="1"/>
  <c r="B89" i="102"/>
  <c r="E117" i="92" s="1"/>
  <c r="B81" i="102"/>
  <c r="B65" i="102"/>
  <c r="E93" i="92" s="1"/>
  <c r="B57" i="102"/>
  <c r="B49" i="102"/>
  <c r="E77" i="92" s="1"/>
  <c r="B41" i="102"/>
  <c r="B33" i="102"/>
  <c r="B25" i="102"/>
  <c r="E34" i="92" s="1"/>
  <c r="B17" i="102"/>
  <c r="E2" i="92" s="1"/>
  <c r="B196" i="102"/>
  <c r="B156" i="102"/>
  <c r="E185" i="92" s="1"/>
  <c r="B116" i="102"/>
  <c r="E149" i="92" s="1"/>
  <c r="B76" i="102"/>
  <c r="E105" i="92" s="1"/>
  <c r="B44" i="102"/>
  <c r="E72" i="92" s="1"/>
  <c r="B195" i="102"/>
  <c r="I248" i="92" s="1"/>
  <c r="B147" i="102"/>
  <c r="E172" i="92" s="1"/>
  <c r="B115" i="102"/>
  <c r="E148" i="92" s="1"/>
  <c r="B83" i="102"/>
  <c r="K108" i="92" s="1"/>
  <c r="B51" i="102"/>
  <c r="E79" i="92" s="1"/>
  <c r="B2" i="102"/>
  <c r="AC165" i="92" s="1"/>
  <c r="B177" i="102"/>
  <c r="E221" i="92" s="1"/>
  <c r="B137" i="102"/>
  <c r="B26" i="97" s="1"/>
  <c r="B73" i="102"/>
  <c r="E102" i="92" s="1"/>
  <c r="B11" i="102"/>
  <c r="B4" i="8" s="1"/>
  <c r="B3" i="102"/>
  <c r="AB165" i="92" s="1"/>
  <c r="S69" i="92" s="1"/>
  <c r="B200" i="102"/>
  <c r="E253" i="92" s="1"/>
  <c r="B192" i="102"/>
  <c r="E244" i="92" s="1"/>
  <c r="B184" i="102"/>
  <c r="E233" i="92" s="1"/>
  <c r="B176" i="102"/>
  <c r="E219" i="92" s="1"/>
  <c r="B168" i="102"/>
  <c r="E204" i="92" s="1"/>
  <c r="B160" i="102"/>
  <c r="E192" i="92" s="1"/>
  <c r="B152" i="102"/>
  <c r="E179" i="92" s="1"/>
  <c r="B144" i="102"/>
  <c r="E169" i="92" s="1"/>
  <c r="B136" i="102"/>
  <c r="B25" i="97" s="1"/>
  <c r="B128" i="102"/>
  <c r="B120" i="102"/>
  <c r="E153" i="92" s="1"/>
  <c r="B112" i="102"/>
  <c r="E145" i="92" s="1"/>
  <c r="B104" i="102"/>
  <c r="E133" i="92" s="1"/>
  <c r="B96" i="102"/>
  <c r="K126" i="92" s="1"/>
  <c r="B88" i="102"/>
  <c r="E116" i="92" s="1"/>
  <c r="B80" i="102"/>
  <c r="E109" i="92" s="1"/>
  <c r="B72" i="102"/>
  <c r="E101" i="92" s="1"/>
  <c r="B64" i="102"/>
  <c r="E92" i="92" s="1"/>
  <c r="B56" i="102"/>
  <c r="E84" i="92" s="1"/>
  <c r="B48" i="102"/>
  <c r="E76" i="92" s="1"/>
  <c r="B40" i="102"/>
  <c r="B32" i="102"/>
  <c r="E54" i="92" s="1"/>
  <c r="B24" i="102"/>
  <c r="E32" i="92" s="1"/>
  <c r="B16" i="102"/>
  <c r="B42" i="6" s="1"/>
  <c r="B172" i="102"/>
  <c r="E211" i="92" s="1"/>
  <c r="B140" i="102"/>
  <c r="E51" i="92" s="1"/>
  <c r="B100" i="102"/>
  <c r="E129" i="92" s="1"/>
  <c r="B52" i="102"/>
  <c r="B28" i="102"/>
  <c r="E37" i="92" s="1"/>
  <c r="B203" i="102"/>
  <c r="E280" i="92" s="1"/>
  <c r="B163" i="102"/>
  <c r="E197" i="92" s="1"/>
  <c r="B131" i="102"/>
  <c r="B99" i="102"/>
  <c r="E128" i="92" s="1"/>
  <c r="B59" i="102"/>
  <c r="I85" i="92" s="1"/>
  <c r="B43" i="102"/>
  <c r="E71" i="92" s="1"/>
  <c r="B4" i="102"/>
  <c r="AA53" i="92" s="1"/>
  <c r="B153" i="102"/>
  <c r="E180" i="92" s="1"/>
  <c r="B183" i="102"/>
  <c r="E229" i="92" s="1"/>
  <c r="B151" i="102"/>
  <c r="E178" i="92" s="1"/>
  <c r="B127" i="102"/>
  <c r="B19" i="97" s="1"/>
  <c r="B103" i="102"/>
  <c r="E132" i="92" s="1"/>
  <c r="B87" i="102"/>
  <c r="E115" i="92" s="1"/>
  <c r="B71" i="102"/>
  <c r="K97" i="92" s="1"/>
  <c r="B63" i="102"/>
  <c r="E91" i="92" s="1"/>
  <c r="B47" i="102"/>
  <c r="E75" i="92" s="1"/>
  <c r="B39" i="102"/>
  <c r="B31" i="102"/>
  <c r="E41" i="92" s="1"/>
  <c r="B23" i="102"/>
  <c r="D12" i="92" s="1"/>
  <c r="B15" i="102"/>
  <c r="B2" i="6" s="1"/>
  <c r="B188" i="102"/>
  <c r="E239" i="92" s="1"/>
  <c r="B148" i="102"/>
  <c r="E173" i="92" s="1"/>
  <c r="B108" i="102"/>
  <c r="E138" i="92" s="1"/>
  <c r="B6" i="102"/>
  <c r="AB59" i="92" s="1"/>
  <c r="B171" i="102"/>
  <c r="E210" i="92" s="1"/>
  <c r="B123" i="102"/>
  <c r="E46" i="92" s="1"/>
  <c r="B67" i="102"/>
  <c r="E95" i="92" s="1"/>
  <c r="B27" i="102"/>
  <c r="E36" i="92" s="1"/>
  <c r="B201" i="102"/>
  <c r="E254" i="92" s="1"/>
  <c r="B169" i="102"/>
  <c r="E207" i="92" s="1"/>
  <c r="B113" i="102"/>
  <c r="E146" i="92" s="1"/>
  <c r="B12" i="102"/>
  <c r="E4" i="8" s="1"/>
  <c r="B191" i="102"/>
  <c r="B167" i="102"/>
  <c r="E202" i="92" s="1"/>
  <c r="B135" i="102"/>
  <c r="B24" i="97" s="1"/>
  <c r="B79" i="102"/>
  <c r="E108" i="92" s="1"/>
  <c r="B198" i="102"/>
  <c r="E250" i="92" s="1"/>
  <c r="B182" i="102"/>
  <c r="E227" i="92" s="1"/>
  <c r="B166" i="102"/>
  <c r="E201" i="92" s="1"/>
  <c r="B158" i="102"/>
  <c r="E190" i="92" s="1"/>
  <c r="B150" i="102"/>
  <c r="E177" i="92" s="1"/>
  <c r="B142" i="102"/>
  <c r="E157" i="92" s="1"/>
  <c r="B134" i="102"/>
  <c r="B23" i="97" s="1"/>
  <c r="B126" i="102"/>
  <c r="B18" i="97" s="1"/>
  <c r="B118" i="102"/>
  <c r="E151" i="92" s="1"/>
  <c r="B110" i="102"/>
  <c r="E142" i="92" s="1"/>
  <c r="B102" i="102"/>
  <c r="E131" i="92" s="1"/>
  <c r="B94" i="102"/>
  <c r="E122" i="92" s="1"/>
  <c r="B86" i="102"/>
  <c r="E114" i="92" s="1"/>
  <c r="B78" i="102"/>
  <c r="E107" i="92" s="1"/>
  <c r="B70" i="102"/>
  <c r="E99" i="92" s="1"/>
  <c r="B62" i="102"/>
  <c r="E90" i="92" s="1"/>
  <c r="B54" i="102"/>
  <c r="E81" i="92" s="1"/>
  <c r="B46" i="102"/>
  <c r="B38" i="102"/>
  <c r="E67" i="92" s="1"/>
  <c r="B30" i="102"/>
  <c r="E40" i="92" s="1"/>
  <c r="B22" i="102"/>
  <c r="I4" i="92" s="1"/>
  <c r="B14" i="102"/>
  <c r="H4" i="8" s="1"/>
  <c r="B204" i="102"/>
  <c r="E291" i="92" s="1"/>
  <c r="B164" i="102"/>
  <c r="E198" i="92" s="1"/>
  <c r="B124" i="102"/>
  <c r="E47" i="92" s="1"/>
  <c r="B84" i="102"/>
  <c r="E111" i="92" s="1"/>
  <c r="B68" i="102"/>
  <c r="E97" i="92" s="1"/>
  <c r="B36" i="102"/>
  <c r="B179" i="102"/>
  <c r="E223" i="92" s="1"/>
  <c r="B139" i="102"/>
  <c r="E50" i="92" s="1"/>
  <c r="B91" i="102"/>
  <c r="E119" i="92" s="1"/>
  <c r="B19" i="102"/>
  <c r="E4" i="92" s="1"/>
  <c r="B185" i="102"/>
  <c r="E235" i="92" s="1"/>
  <c r="B161" i="102"/>
  <c r="E194" i="92" s="1"/>
  <c r="B129" i="102"/>
  <c r="B10" i="102"/>
  <c r="B3" i="8" s="1"/>
  <c r="B199" i="102"/>
  <c r="E252" i="92" s="1"/>
  <c r="B175" i="102"/>
  <c r="E216" i="92" s="1"/>
  <c r="B159" i="102"/>
  <c r="E191" i="92" s="1"/>
  <c r="B143" i="102"/>
  <c r="E167" i="92" s="1"/>
  <c r="B119" i="102"/>
  <c r="E152" i="92" s="1"/>
  <c r="B111" i="102"/>
  <c r="E144" i="92" s="1"/>
  <c r="B95" i="102"/>
  <c r="E124" i="92" s="1"/>
  <c r="B55" i="102"/>
  <c r="B9" i="102"/>
  <c r="B206" i="102"/>
  <c r="E293" i="92" s="1"/>
  <c r="B190" i="102"/>
  <c r="E242" i="92" s="1"/>
  <c r="B174" i="102"/>
  <c r="E214" i="92" s="1"/>
  <c r="B8" i="102"/>
  <c r="B205" i="102"/>
  <c r="E292" i="92" s="1"/>
  <c r="B197" i="102"/>
  <c r="E249" i="92" s="1"/>
  <c r="B189" i="102"/>
  <c r="E240" i="92" s="1"/>
  <c r="B181" i="102"/>
  <c r="E226" i="92" s="1"/>
  <c r="B173" i="102"/>
  <c r="E213" i="92" s="1"/>
  <c r="B165" i="102"/>
  <c r="E199" i="92" s="1"/>
  <c r="B157" i="102"/>
  <c r="E188" i="92" s="1"/>
  <c r="B149" i="102"/>
  <c r="E175" i="92" s="1"/>
  <c r="B141" i="102"/>
  <c r="E155" i="92" s="1"/>
  <c r="B133" i="102"/>
  <c r="B22" i="97" s="1"/>
  <c r="B125" i="102"/>
  <c r="B17" i="97" s="1"/>
  <c r="B117" i="102"/>
  <c r="E150" i="92" s="1"/>
  <c r="B109" i="102"/>
  <c r="E141" i="92" s="1"/>
  <c r="B101" i="102"/>
  <c r="E130" i="92" s="1"/>
  <c r="B93" i="102"/>
  <c r="E121" i="92" s="1"/>
  <c r="B85" i="102"/>
  <c r="E113" i="92" s="1"/>
  <c r="B77" i="102"/>
  <c r="E106" i="92" s="1"/>
  <c r="B69" i="102"/>
  <c r="E98" i="92" s="1"/>
  <c r="B61" i="102"/>
  <c r="E89" i="92" s="1"/>
  <c r="B53" i="102"/>
  <c r="B45" i="102"/>
  <c r="B37" i="102"/>
  <c r="E62" i="92" s="1"/>
  <c r="B29" i="102"/>
  <c r="E39" i="92" s="1"/>
  <c r="B21" i="102"/>
  <c r="I3" i="92" s="1"/>
  <c r="J250" i="92"/>
  <c r="I256" i="92"/>
  <c r="J256" i="92"/>
  <c r="H256" i="92"/>
  <c r="I250" i="92"/>
  <c r="I249" i="92"/>
  <c r="S65" i="92" l="1"/>
  <c r="F70" i="92"/>
  <c r="S66" i="92"/>
  <c r="E83" i="92"/>
  <c r="E85" i="92"/>
  <c r="F69" i="92"/>
  <c r="E58" i="92"/>
  <c r="E215" i="92"/>
  <c r="E59" i="92"/>
  <c r="E228" i="92"/>
  <c r="E57" i="92"/>
  <c r="E203" i="92"/>
  <c r="E56" i="92"/>
  <c r="E184" i="92"/>
  <c r="W233" i="92"/>
  <c r="I69" i="92"/>
  <c r="A26" i="97"/>
  <c r="AF181" i="92"/>
  <c r="AB181" i="92"/>
  <c r="A22" i="97"/>
  <c r="AD181" i="92"/>
  <c r="A24" i="97"/>
  <c r="BM9" i="96"/>
  <c r="BD9" i="96"/>
  <c r="BD9" i="101"/>
  <c r="AE61" i="92"/>
  <c r="A2" i="97" s="1"/>
  <c r="AB61" i="92"/>
  <c r="A6" i="97" s="1"/>
  <c r="A25" i="97"/>
  <c r="AE181" i="92"/>
  <c r="A13" i="97"/>
  <c r="AB60" i="92"/>
  <c r="BM7" i="96"/>
  <c r="BD7" i="101"/>
  <c r="BD7" i="96"/>
  <c r="A11" i="97"/>
  <c r="I74" i="92"/>
  <c r="BM10" i="96"/>
  <c r="AB62" i="92"/>
  <c r="AA100" i="92" s="1"/>
  <c r="AE62" i="92"/>
  <c r="A4" i="97" s="1"/>
  <c r="BD10" i="101"/>
  <c r="BD10" i="96"/>
  <c r="BD8" i="96"/>
  <c r="BM8" i="96"/>
  <c r="BD8" i="101"/>
  <c r="AE60" i="92"/>
  <c r="A1" i="97" s="1"/>
  <c r="E70" i="92"/>
  <c r="E69" i="92"/>
  <c r="AQ83" i="101"/>
  <c r="AN6" i="94"/>
  <c r="AQ83" i="96"/>
  <c r="A10" i="97"/>
  <c r="AN6" i="100"/>
  <c r="AC181" i="92"/>
  <c r="A23" i="97"/>
  <c r="I235" i="92"/>
  <c r="A12" i="97"/>
  <c r="R71" i="92" s="1"/>
  <c r="H100" i="92"/>
  <c r="K105" i="92" s="1"/>
  <c r="Z238" i="92"/>
  <c r="Z239" i="92"/>
  <c r="Z240" i="92"/>
  <c r="Z237" i="92"/>
  <c r="Z241" i="92" s="1"/>
  <c r="F33" i="6"/>
  <c r="F34" i="6"/>
  <c r="M114" i="101"/>
  <c r="R109" i="101" s="1"/>
  <c r="M90" i="101"/>
  <c r="R85" i="101" s="1"/>
  <c r="M13" i="101"/>
  <c r="R8" i="101" s="1"/>
  <c r="R109" i="96"/>
  <c r="M114" i="96"/>
  <c r="R107" i="96" s="1"/>
  <c r="M90" i="96"/>
  <c r="R83" i="96" s="1"/>
  <c r="R8" i="96"/>
  <c r="S68" i="92" l="1"/>
  <c r="AB69" i="92" a="1"/>
  <c r="AB69" i="92" s="1"/>
  <c r="A5" i="97"/>
  <c r="A8" i="97"/>
  <c r="AG31" i="94"/>
  <c r="R107" i="101"/>
  <c r="R6" i="101"/>
  <c r="R83" i="101"/>
  <c r="R6" i="96"/>
  <c r="R85" i="96"/>
  <c r="R70" i="92" l="1"/>
  <c r="R62" i="92"/>
  <c r="D9" i="97"/>
  <c r="L11" i="93"/>
  <c r="Q6" i="93" s="1"/>
  <c r="L13" i="100"/>
  <c r="L13" i="99"/>
  <c r="Q6" i="99" s="1"/>
  <c r="L13" i="95"/>
  <c r="Q6" i="95" s="1"/>
  <c r="L13" i="94"/>
  <c r="L11" i="98"/>
  <c r="Q6" i="98" s="1"/>
  <c r="H88" i="92"/>
  <c r="E88" i="92" s="1"/>
  <c r="H74" i="92"/>
  <c r="E74" i="92" s="1"/>
  <c r="H75" i="92" l="1"/>
  <c r="H91" i="92"/>
  <c r="H90" i="92"/>
  <c r="H92" i="92"/>
  <c r="H89" i="92"/>
  <c r="H93" i="92"/>
  <c r="H79" i="92"/>
  <c r="H78" i="92"/>
  <c r="H77" i="92"/>
  <c r="H76" i="92"/>
  <c r="Q6" i="94"/>
  <c r="Q8" i="94"/>
  <c r="Q6" i="100"/>
  <c r="Q8" i="100"/>
  <c r="H223" i="92"/>
  <c r="C89" i="101" l="1"/>
  <c r="D89" i="101" s="1"/>
  <c r="C113" i="101"/>
  <c r="C38" i="101"/>
  <c r="C12" i="101"/>
  <c r="D15" i="101" s="1"/>
  <c r="W109" i="101"/>
  <c r="BE107" i="101"/>
  <c r="AU107" i="101"/>
  <c r="AH107" i="101"/>
  <c r="AG107" i="101"/>
  <c r="J107" i="101"/>
  <c r="I107" i="101"/>
  <c r="C107" i="101"/>
  <c r="W85" i="101"/>
  <c r="AU83" i="101"/>
  <c r="AH83" i="101"/>
  <c r="AG83" i="101"/>
  <c r="AP83" i="101" s="1"/>
  <c r="J83" i="101"/>
  <c r="I83" i="101"/>
  <c r="C83" i="101"/>
  <c r="AP32" i="101"/>
  <c r="AH32" i="101"/>
  <c r="AG32" i="101"/>
  <c r="AU32" i="101" s="1"/>
  <c r="V32" i="101"/>
  <c r="J32" i="101"/>
  <c r="I32" i="101"/>
  <c r="C32" i="101"/>
  <c r="W8" i="101"/>
  <c r="AP6" i="101"/>
  <c r="AH6" i="101"/>
  <c r="AG6" i="101"/>
  <c r="J6" i="101"/>
  <c r="I6" i="101"/>
  <c r="C6" i="101"/>
  <c r="J109" i="101" l="1"/>
  <c r="AQ32" i="101"/>
  <c r="AL32" i="101"/>
  <c r="AK32" i="101"/>
  <c r="AS32" i="101"/>
  <c r="T6" i="101"/>
  <c r="T8" i="101" s="1"/>
  <c r="Q6" i="101"/>
  <c r="T107" i="101"/>
  <c r="T109" i="101" s="1"/>
  <c r="Q107" i="101"/>
  <c r="X83" i="101"/>
  <c r="X85" i="101" s="1"/>
  <c r="Q83" i="101"/>
  <c r="AQ6" i="101"/>
  <c r="AL6" i="101"/>
  <c r="AK6" i="101"/>
  <c r="AJ8" i="101"/>
  <c r="Y32" i="101"/>
  <c r="Q32" i="101"/>
  <c r="AV107" i="101"/>
  <c r="AP107" i="101"/>
  <c r="AW83" i="101"/>
  <c r="AW107" i="101"/>
  <c r="Y107" i="101"/>
  <c r="Y109" i="101" s="1"/>
  <c r="U6" i="101"/>
  <c r="E107" i="101"/>
  <c r="Y6" i="101"/>
  <c r="Y8" i="101" s="1"/>
  <c r="AI83" i="101"/>
  <c r="AX86" i="101" s="1"/>
  <c r="D41" i="101"/>
  <c r="I8" i="101"/>
  <c r="X6" i="101"/>
  <c r="X8" i="101" s="1"/>
  <c r="AS83" i="101"/>
  <c r="Y83" i="101"/>
  <c r="Y85" i="101" s="1"/>
  <c r="U107" i="101"/>
  <c r="U109" i="101" s="1"/>
  <c r="D116" i="101"/>
  <c r="X107" i="101"/>
  <c r="X109" i="101" s="1"/>
  <c r="J8" i="101"/>
  <c r="AK90" i="101"/>
  <c r="I85" i="101"/>
  <c r="T32" i="101"/>
  <c r="AT83" i="101"/>
  <c r="J85" i="101"/>
  <c r="AS107" i="101"/>
  <c r="I109" i="101"/>
  <c r="U32" i="101"/>
  <c r="T83" i="101"/>
  <c r="E32" i="101"/>
  <c r="U83" i="101"/>
  <c r="U85" i="101" s="1"/>
  <c r="AV83" i="101"/>
  <c r="AT107" i="101"/>
  <c r="X32" i="101"/>
  <c r="E83" i="101"/>
  <c r="E6" i="101"/>
  <c r="I98" i="92"/>
  <c r="V109" i="101" l="1"/>
  <c r="I100" i="92"/>
  <c r="K106" i="92" s="1"/>
  <c r="T85" i="101"/>
  <c r="V85" i="101" s="1"/>
  <c r="V83" i="101"/>
  <c r="U8" i="101"/>
  <c r="V8" i="101" s="1"/>
  <c r="V6" i="101"/>
  <c r="V107" i="101"/>
  <c r="Q109" i="101"/>
  <c r="Q8" i="101"/>
  <c r="Q85" i="101"/>
  <c r="I142" i="92"/>
  <c r="AG29" i="94"/>
  <c r="BA16" i="6" l="1"/>
  <c r="BD2" i="6"/>
  <c r="BA15" i="6"/>
  <c r="BA14" i="6"/>
  <c r="BA13" i="6"/>
  <c r="BA12" i="6"/>
  <c r="BA11" i="6"/>
  <c r="BA10" i="6"/>
  <c r="BA9" i="6"/>
  <c r="BA8" i="6"/>
  <c r="BA7" i="6"/>
  <c r="BA6" i="6"/>
  <c r="BA5" i="6"/>
  <c r="BA4" i="6"/>
  <c r="B6" i="99" l="1"/>
  <c r="B6" i="100"/>
  <c r="D6" i="100" s="1"/>
  <c r="AH13" i="100"/>
  <c r="AD6" i="100"/>
  <c r="H6" i="100"/>
  <c r="P6" i="100" s="1"/>
  <c r="AQ6" i="99"/>
  <c r="AC6" i="99"/>
  <c r="H6" i="99"/>
  <c r="I111" i="92"/>
  <c r="AE6" i="98" s="1"/>
  <c r="B6" i="98"/>
  <c r="D6" i="98" s="1"/>
  <c r="I141" i="92"/>
  <c r="AE6" i="100" s="1"/>
  <c r="I124" i="92"/>
  <c r="AR6" i="98"/>
  <c r="AD6" i="98"/>
  <c r="H6" i="98"/>
  <c r="H50" i="92"/>
  <c r="AM6" i="98" l="1"/>
  <c r="S6" i="99"/>
  <c r="P6" i="99"/>
  <c r="T6" i="98"/>
  <c r="P6" i="98"/>
  <c r="AP6" i="100"/>
  <c r="AM6" i="100"/>
  <c r="AS6" i="99"/>
  <c r="AL6" i="99"/>
  <c r="I6" i="98"/>
  <c r="I6" i="100"/>
  <c r="I6" i="99"/>
  <c r="AD6" i="99"/>
  <c r="AQ6" i="100"/>
  <c r="AR6" i="100"/>
  <c r="S6" i="100"/>
  <c r="AS6" i="100"/>
  <c r="T6" i="100"/>
  <c r="AT6" i="100"/>
  <c r="X6" i="100"/>
  <c r="H8" i="100"/>
  <c r="W6" i="100"/>
  <c r="T6" i="99"/>
  <c r="D6" i="99"/>
  <c r="W6" i="99"/>
  <c r="AO6" i="99"/>
  <c r="X6" i="99"/>
  <c r="AP6" i="99"/>
  <c r="AR6" i="99"/>
  <c r="AT6" i="98"/>
  <c r="W6" i="98"/>
  <c r="X6" i="98"/>
  <c r="AP6" i="98"/>
  <c r="S6" i="98"/>
  <c r="AQ6" i="98"/>
  <c r="AS6" i="98"/>
  <c r="F34" i="92"/>
  <c r="I8" i="100" l="1"/>
  <c r="U6" i="98"/>
  <c r="U6" i="99"/>
  <c r="U6" i="100"/>
  <c r="P8" i="100"/>
  <c r="X8" i="100"/>
  <c r="W8" i="100"/>
  <c r="T8" i="100"/>
  <c r="S8" i="100"/>
  <c r="U8" i="100" l="1"/>
  <c r="AL7" i="8"/>
  <c r="AL8" i="8"/>
  <c r="AL9" i="8"/>
  <c r="AL10" i="8"/>
  <c r="AL11" i="8"/>
  <c r="AL12" i="8"/>
  <c r="AL13" i="8"/>
  <c r="AL14" i="8"/>
  <c r="AL15" i="8"/>
  <c r="AL16" i="8"/>
  <c r="AL17" i="8"/>
  <c r="AL18" i="8"/>
  <c r="AL19" i="8"/>
  <c r="AL20" i="8"/>
  <c r="AL21" i="8"/>
  <c r="AL22" i="8"/>
  <c r="AL23" i="8"/>
  <c r="AL24" i="8"/>
  <c r="AL25" i="8"/>
  <c r="AL26" i="8"/>
  <c r="AL27" i="8"/>
  <c r="AL28" i="8"/>
  <c r="AL29" i="8"/>
  <c r="AL6" i="8"/>
  <c r="AK7" i="8"/>
  <c r="AK8" i="8"/>
  <c r="AK9" i="8"/>
  <c r="AK10" i="8"/>
  <c r="AK11" i="8"/>
  <c r="AK12" i="8"/>
  <c r="AK13" i="8"/>
  <c r="AK14" i="8"/>
  <c r="AK15" i="8"/>
  <c r="AK16" i="8"/>
  <c r="AK17" i="8"/>
  <c r="AK18" i="8"/>
  <c r="AK19" i="8"/>
  <c r="AK20" i="8"/>
  <c r="AK21" i="8"/>
  <c r="AK22" i="8"/>
  <c r="AK23" i="8"/>
  <c r="AK24" i="8"/>
  <c r="AK25" i="8"/>
  <c r="AK26" i="8"/>
  <c r="AK27" i="8"/>
  <c r="AK28" i="8"/>
  <c r="AK29" i="8"/>
  <c r="AK6" i="8"/>
  <c r="AH7" i="8"/>
  <c r="AP7" i="8" s="1"/>
  <c r="AH8" i="8"/>
  <c r="AP8" i="8" s="1"/>
  <c r="AH9" i="8"/>
  <c r="AP9" i="8" s="1"/>
  <c r="AH10" i="8"/>
  <c r="AP10" i="8" s="1"/>
  <c r="AH11" i="8"/>
  <c r="AP11" i="8" s="1"/>
  <c r="AH12" i="8"/>
  <c r="AP12" i="8" s="1"/>
  <c r="AH13" i="8"/>
  <c r="AP13" i="8" s="1"/>
  <c r="AH14" i="8"/>
  <c r="AP14" i="8" s="1"/>
  <c r="AH15" i="8"/>
  <c r="AP15" i="8" s="1"/>
  <c r="AH16" i="8"/>
  <c r="AP16" i="8" s="1"/>
  <c r="AH17" i="8"/>
  <c r="AP17" i="8" s="1"/>
  <c r="AH18" i="8"/>
  <c r="AP18" i="8" s="1"/>
  <c r="AH19" i="8"/>
  <c r="AP19" i="8" s="1"/>
  <c r="AH20" i="8"/>
  <c r="AP20" i="8" s="1"/>
  <c r="AH21" i="8"/>
  <c r="AP21" i="8" s="1"/>
  <c r="AH22" i="8"/>
  <c r="AP22" i="8" s="1"/>
  <c r="AH23" i="8"/>
  <c r="AP23" i="8" s="1"/>
  <c r="AH24" i="8"/>
  <c r="AP24" i="8" s="1"/>
  <c r="AH25" i="8"/>
  <c r="AP25" i="8" s="1"/>
  <c r="AH26" i="8"/>
  <c r="AP26" i="8" s="1"/>
  <c r="AH27" i="8"/>
  <c r="AP27" i="8" s="1"/>
  <c r="AH28" i="8"/>
  <c r="AP28" i="8" s="1"/>
  <c r="AH29" i="8"/>
  <c r="AP29" i="8" s="1"/>
  <c r="AH6" i="8"/>
  <c r="AP6" i="8" s="1"/>
  <c r="I45" i="92"/>
  <c r="I46" i="92"/>
  <c r="AA24" i="6"/>
  <c r="AA23" i="6"/>
  <c r="AA5" i="6"/>
  <c r="AA6" i="6"/>
  <c r="AA7" i="6"/>
  <c r="AA8" i="6"/>
  <c r="AA9" i="6"/>
  <c r="AA10" i="6"/>
  <c r="AA11" i="6"/>
  <c r="AA12" i="6"/>
  <c r="AA13" i="6"/>
  <c r="AA14" i="6"/>
  <c r="AA15" i="6"/>
  <c r="AA16" i="6"/>
  <c r="AA17" i="6"/>
  <c r="AA18" i="6"/>
  <c r="AA19" i="6"/>
  <c r="AA20" i="6"/>
  <c r="AA21" i="6"/>
  <c r="AA22" i="6"/>
  <c r="AA4" i="6"/>
  <c r="R24" i="6"/>
  <c r="R23" i="6"/>
  <c r="Z5" i="6"/>
  <c r="Z6" i="6"/>
  <c r="Z7" i="6"/>
  <c r="Z8" i="6"/>
  <c r="Z9" i="6"/>
  <c r="Z10" i="6"/>
  <c r="Z11" i="6"/>
  <c r="Z12" i="6"/>
  <c r="Z13" i="6"/>
  <c r="Z14" i="6"/>
  <c r="Z15" i="6"/>
  <c r="Z16" i="6"/>
  <c r="Z17" i="6"/>
  <c r="Z18" i="6"/>
  <c r="Z19" i="6"/>
  <c r="Z20" i="6"/>
  <c r="Z21" i="6"/>
  <c r="Z22" i="6"/>
  <c r="Z23" i="6"/>
  <c r="Z24" i="6"/>
  <c r="Z4" i="6"/>
  <c r="J249" i="92" l="1"/>
  <c r="H101" i="92"/>
  <c r="H249" i="92" s="1"/>
  <c r="H108" i="92"/>
  <c r="I108" i="92"/>
  <c r="H32" i="101"/>
  <c r="H83" i="101"/>
  <c r="H85" i="101" s="1"/>
  <c r="H107" i="101"/>
  <c r="H109" i="101" s="1"/>
  <c r="H6" i="101"/>
  <c r="H8" i="101" s="1"/>
  <c r="I101" i="92"/>
  <c r="H250" i="92" s="1"/>
  <c r="AI19" i="8"/>
  <c r="AO15" i="8"/>
  <c r="AI18" i="8"/>
  <c r="AI29" i="8"/>
  <c r="AJ21" i="8"/>
  <c r="AJ29" i="8"/>
  <c r="AJ20" i="8"/>
  <c r="AJ28" i="8"/>
  <c r="AI8" i="8"/>
  <c r="AJ19" i="8"/>
  <c r="AJ27" i="8"/>
  <c r="AI7" i="8"/>
  <c r="AO23" i="8"/>
  <c r="AO27" i="8"/>
  <c r="AI13" i="8"/>
  <c r="AO22" i="8"/>
  <c r="AO26" i="8"/>
  <c r="AI20" i="8"/>
  <c r="AO21" i="8"/>
  <c r="AO8" i="8"/>
  <c r="AI6" i="8"/>
  <c r="AJ6" i="8"/>
  <c r="AO6" i="8"/>
  <c r="AJ14" i="8"/>
  <c r="AI17" i="8"/>
  <c r="AJ18" i="8"/>
  <c r="AO20" i="8"/>
  <c r="AI28" i="8"/>
  <c r="AJ26" i="8"/>
  <c r="AI24" i="8"/>
  <c r="AO7" i="8"/>
  <c r="AI12" i="8"/>
  <c r="AJ13" i="8"/>
  <c r="AO13" i="8"/>
  <c r="AI14" i="8"/>
  <c r="AI16" i="8"/>
  <c r="AJ17" i="8"/>
  <c r="AO19" i="8"/>
  <c r="AI27" i="8"/>
  <c r="AJ25" i="8"/>
  <c r="AI11" i="8"/>
  <c r="AJ12" i="8"/>
  <c r="AO12" i="8"/>
  <c r="AI23" i="8"/>
  <c r="AI15" i="8"/>
  <c r="AJ16" i="8"/>
  <c r="AO18" i="8"/>
  <c r="AI26" i="8"/>
  <c r="AO24" i="8"/>
  <c r="AJ9" i="8"/>
  <c r="AJ8" i="8"/>
  <c r="AJ7" i="8"/>
  <c r="AO25" i="8"/>
  <c r="AI10" i="8"/>
  <c r="AJ11" i="8"/>
  <c r="AO11" i="8"/>
  <c r="AI22" i="8"/>
  <c r="AJ23" i="8"/>
  <c r="AJ15" i="8"/>
  <c r="AO17" i="8"/>
  <c r="AI25" i="8"/>
  <c r="AO29" i="8"/>
  <c r="AO9" i="8"/>
  <c r="AI9" i="8"/>
  <c r="AJ10" i="8"/>
  <c r="AO10" i="8"/>
  <c r="AI21" i="8"/>
  <c r="AJ22" i="8"/>
  <c r="AO14" i="8"/>
  <c r="AO16" i="8"/>
  <c r="AJ24" i="8"/>
  <c r="AO28" i="8"/>
  <c r="BD5" i="6"/>
  <c r="BD3" i="6"/>
  <c r="BD4" i="6"/>
  <c r="H103" i="92"/>
  <c r="AC87" i="92"/>
  <c r="I104" i="92"/>
  <c r="I103" i="92"/>
  <c r="G6" i="99"/>
  <c r="G6" i="100"/>
  <c r="G6" i="98"/>
  <c r="AF6" i="100"/>
  <c r="H104" i="92"/>
  <c r="Y3" i="6"/>
  <c r="Z3" i="6"/>
  <c r="Z2" i="6"/>
  <c r="X55" i="92"/>
  <c r="X62" i="92"/>
  <c r="X63" i="92"/>
  <c r="AC86" i="92"/>
  <c r="X87" i="92" l="1"/>
  <c r="X84" i="92"/>
  <c r="R86" i="92"/>
  <c r="BF4" i="6"/>
  <c r="BG5" i="6"/>
  <c r="AW8" i="6"/>
  <c r="BG4" i="6"/>
  <c r="AW10" i="6"/>
  <c r="AW9" i="6"/>
  <c r="AW11" i="6"/>
  <c r="G8" i="100"/>
  <c r="AK90" i="96"/>
  <c r="H6" i="93"/>
  <c r="I32" i="96"/>
  <c r="AH83" i="96"/>
  <c r="AE6" i="94"/>
  <c r="X6" i="93" l="1"/>
  <c r="Y8" i="93" a="1"/>
  <c r="Y8" i="93" s="1"/>
  <c r="P6" i="93"/>
  <c r="Q32" i="96"/>
  <c r="AH13" i="94"/>
  <c r="W109" i="96"/>
  <c r="W85" i="96" l="1"/>
  <c r="W8" i="96" l="1"/>
  <c r="AD23" i="6" l="1"/>
  <c r="AD24" i="6"/>
  <c r="F21" i="6" l="1"/>
  <c r="F22" i="6"/>
  <c r="F23" i="6"/>
  <c r="F24" i="6"/>
  <c r="F25" i="6"/>
  <c r="F26" i="6"/>
  <c r="F27" i="6"/>
  <c r="F28" i="6"/>
  <c r="F29" i="6"/>
  <c r="F30" i="6"/>
  <c r="F31" i="6"/>
  <c r="F20" i="6"/>
  <c r="N15" i="6" l="1"/>
  <c r="N14" i="6"/>
  <c r="AE24" i="6"/>
  <c r="AE23" i="6"/>
  <c r="AD5" i="6"/>
  <c r="AE5" i="6" s="1"/>
  <c r="AF5" i="6" s="1"/>
  <c r="AD6" i="6"/>
  <c r="AD7" i="6"/>
  <c r="AD8" i="6"/>
  <c r="AE8" i="6" s="1"/>
  <c r="AF8" i="6" s="1"/>
  <c r="AG8" i="6" s="1"/>
  <c r="AD9" i="6"/>
  <c r="AD10" i="6"/>
  <c r="AE10" i="6" s="1"/>
  <c r="AF10" i="6" s="1"/>
  <c r="AG10" i="6" s="1"/>
  <c r="AD11" i="6"/>
  <c r="AD12" i="6"/>
  <c r="AD13" i="6"/>
  <c r="AE13" i="6" s="1"/>
  <c r="AF13" i="6" s="1"/>
  <c r="AD14" i="6"/>
  <c r="AE14" i="6" s="1"/>
  <c r="AF14" i="6" s="1"/>
  <c r="AD15" i="6"/>
  <c r="AD16" i="6"/>
  <c r="AE16" i="6" s="1"/>
  <c r="AF16" i="6" s="1"/>
  <c r="AG16" i="6" s="1"/>
  <c r="AD17" i="6"/>
  <c r="AE17" i="6" s="1"/>
  <c r="AF17" i="6" s="1"/>
  <c r="AD18" i="6"/>
  <c r="AE18" i="6" s="1"/>
  <c r="AF18" i="6" s="1"/>
  <c r="AG18" i="6" s="1"/>
  <c r="AD19" i="6"/>
  <c r="AD20" i="6"/>
  <c r="AD21" i="6"/>
  <c r="AD22" i="6"/>
  <c r="AE22" i="6" s="1"/>
  <c r="AF22" i="6" s="1"/>
  <c r="AD4" i="6"/>
  <c r="AE4" i="6" s="1"/>
  <c r="AF4" i="6" s="1"/>
  <c r="BE107" i="96"/>
  <c r="L135" i="6"/>
  <c r="BF107" i="101" s="1"/>
  <c r="L136" i="6"/>
  <c r="L137" i="6"/>
  <c r="L138" i="6"/>
  <c r="L139" i="6"/>
  <c r="L140" i="6"/>
  <c r="L141" i="6"/>
  <c r="L134" i="6"/>
  <c r="AH107" i="96"/>
  <c r="AG107" i="96"/>
  <c r="J107" i="96"/>
  <c r="I107" i="96"/>
  <c r="Q107" i="96" s="1"/>
  <c r="C107" i="96"/>
  <c r="AU107" i="96"/>
  <c r="I83" i="96"/>
  <c r="J83" i="96"/>
  <c r="AG83" i="96"/>
  <c r="AE21" i="6" l="1"/>
  <c r="AF21" i="6" s="1"/>
  <c r="AN6" i="101"/>
  <c r="H107" i="92"/>
  <c r="AI84" i="101"/>
  <c r="D83" i="101"/>
  <c r="BD83" i="101"/>
  <c r="D32" i="101"/>
  <c r="AN32" i="101"/>
  <c r="AR32" i="101" s="1"/>
  <c r="D107" i="101"/>
  <c r="H109" i="92"/>
  <c r="D6" i="101"/>
  <c r="AE9" i="6"/>
  <c r="AF9" i="6" s="1"/>
  <c r="I109" i="92"/>
  <c r="AN12" i="101"/>
  <c r="I107" i="92"/>
  <c r="J85" i="96"/>
  <c r="AP83" i="96"/>
  <c r="I85" i="96"/>
  <c r="Q83" i="96"/>
  <c r="AS107" i="96"/>
  <c r="AP107" i="96"/>
  <c r="BF107" i="96"/>
  <c r="AE6" i="6"/>
  <c r="AF6" i="6" s="1"/>
  <c r="AG6" i="6" s="1"/>
  <c r="AU6" i="99"/>
  <c r="H105" i="92"/>
  <c r="Z6" i="99"/>
  <c r="I105" i="92"/>
  <c r="C6" i="98"/>
  <c r="C6" i="100"/>
  <c r="C6" i="99"/>
  <c r="X107" i="96"/>
  <c r="X109" i="96" s="1"/>
  <c r="I109" i="96"/>
  <c r="J109" i="96"/>
  <c r="D107" i="96"/>
  <c r="F107" i="96"/>
  <c r="BC107" i="96" s="1"/>
  <c r="AF24" i="6"/>
  <c r="AG24" i="6" s="1"/>
  <c r="AF23" i="6"/>
  <c r="AG23" i="6" s="1"/>
  <c r="AE20" i="6"/>
  <c r="AF20" i="6" s="1"/>
  <c r="AG20" i="6" s="1"/>
  <c r="AE12" i="6"/>
  <c r="AF12" i="6" s="1"/>
  <c r="AG12" i="6" s="1"/>
  <c r="AE19" i="6"/>
  <c r="AF19" i="6" s="1"/>
  <c r="AG19" i="6" s="1"/>
  <c r="AE11" i="6"/>
  <c r="AF11" i="6" s="1"/>
  <c r="AG11" i="6" s="1"/>
  <c r="AG17" i="6"/>
  <c r="AG9" i="6"/>
  <c r="AG22" i="6"/>
  <c r="AG14" i="6"/>
  <c r="AG4" i="6"/>
  <c r="AE15" i="6"/>
  <c r="AF15" i="6" s="1"/>
  <c r="AG15" i="6" s="1"/>
  <c r="AE7" i="6"/>
  <c r="AF7" i="6" s="1"/>
  <c r="AG7" i="6" s="1"/>
  <c r="AG21" i="6"/>
  <c r="AG13" i="6"/>
  <c r="AG5" i="6"/>
  <c r="U107" i="96"/>
  <c r="U109" i="96" s="1"/>
  <c r="AW107" i="96"/>
  <c r="E107" i="96"/>
  <c r="Y107" i="96"/>
  <c r="Y109" i="96" s="1"/>
  <c r="AT107" i="96"/>
  <c r="AV107" i="96"/>
  <c r="T107" i="96"/>
  <c r="T109" i="96" s="1"/>
  <c r="Q109" i="96"/>
  <c r="D38" i="101" l="1"/>
  <c r="I102" i="92"/>
  <c r="D12" i="101"/>
  <c r="D113" i="101"/>
  <c r="AR6" i="101"/>
  <c r="AS6" i="101"/>
  <c r="F32" i="101"/>
  <c r="F6" i="101"/>
  <c r="F107" i="101"/>
  <c r="H102" i="92"/>
  <c r="F83" i="101"/>
  <c r="H106" i="92"/>
  <c r="I106" i="92"/>
  <c r="E6" i="100"/>
  <c r="E6" i="98"/>
  <c r="E6" i="99"/>
  <c r="V109" i="96"/>
  <c r="V107" i="96"/>
  <c r="G107" i="96"/>
  <c r="AD107" i="96"/>
  <c r="BO11" i="96" s="1"/>
  <c r="BB107" i="96"/>
  <c r="AE107" i="96"/>
  <c r="BP11" i="96" s="1"/>
  <c r="AI107" i="96"/>
  <c r="K107" i="96"/>
  <c r="K109" i="96" s="1"/>
  <c r="AD6" i="101" l="1"/>
  <c r="G6" i="101"/>
  <c r="AE6" i="101"/>
  <c r="K6" i="101"/>
  <c r="K8" i="101" s="1"/>
  <c r="AI6" i="101"/>
  <c r="AD32" i="101"/>
  <c r="K32" i="101"/>
  <c r="AI32" i="101"/>
  <c r="G32" i="101"/>
  <c r="AE32" i="101"/>
  <c r="E116" i="101"/>
  <c r="F116" i="101" s="1"/>
  <c r="G113" i="101"/>
  <c r="BB113" i="101"/>
  <c r="BC113" i="101"/>
  <c r="E113" i="101"/>
  <c r="F113" i="101"/>
  <c r="AD113" i="101" s="1"/>
  <c r="K83" i="101"/>
  <c r="K85" i="101" s="1"/>
  <c r="AE83" i="101"/>
  <c r="AD83" i="101"/>
  <c r="G83" i="101"/>
  <c r="E15" i="101"/>
  <c r="F15" i="101" s="1"/>
  <c r="F12" i="101"/>
  <c r="AD12" i="101" s="1"/>
  <c r="G12" i="101"/>
  <c r="E12" i="101"/>
  <c r="AD107" i="101"/>
  <c r="K107" i="101"/>
  <c r="K109" i="101" s="1"/>
  <c r="G107" i="101"/>
  <c r="AE107" i="101"/>
  <c r="AE113" i="101" s="1"/>
  <c r="BC107" i="101"/>
  <c r="AI107" i="101"/>
  <c r="BB107" i="101"/>
  <c r="D91" i="101"/>
  <c r="E38" i="101"/>
  <c r="E41" i="101"/>
  <c r="F41" i="101" s="1"/>
  <c r="F38" i="101"/>
  <c r="G38" i="101"/>
  <c r="I252" i="92"/>
  <c r="I253" i="92"/>
  <c r="J6" i="99"/>
  <c r="F6" i="99"/>
  <c r="AZ6" i="99"/>
  <c r="AE6" i="99"/>
  <c r="AZ6" i="100"/>
  <c r="F6" i="100"/>
  <c r="BB6" i="100"/>
  <c r="J6" i="100"/>
  <c r="F6" i="98"/>
  <c r="J6" i="98"/>
  <c r="AZ6" i="98"/>
  <c r="BB6" i="98"/>
  <c r="AF6" i="98"/>
  <c r="AV83" i="96"/>
  <c r="AU83" i="96"/>
  <c r="C83" i="96"/>
  <c r="U83" i="96"/>
  <c r="U85" i="96" s="1"/>
  <c r="BF113" i="101" l="1"/>
  <c r="AD38" i="101"/>
  <c r="BE113" i="101"/>
  <c r="AE12" i="101"/>
  <c r="AE38" i="101"/>
  <c r="AO6" i="101"/>
  <c r="AT6" i="101" s="1"/>
  <c r="E89" i="101"/>
  <c r="AD89" i="101" s="1"/>
  <c r="F89" i="101"/>
  <c r="AE89" i="101" s="1"/>
  <c r="AO32" i="101"/>
  <c r="AT32" i="101" s="1"/>
  <c r="AX32" i="101" s="1"/>
  <c r="AY32" i="101" s="1"/>
  <c r="BD83" i="96"/>
  <c r="AI83" i="96"/>
  <c r="AI84" i="96"/>
  <c r="J8" i="100"/>
  <c r="D83" i="96"/>
  <c r="F83" i="96"/>
  <c r="K83" i="96" s="1"/>
  <c r="K85" i="96" s="1"/>
  <c r="AW83" i="96"/>
  <c r="AS83" i="96"/>
  <c r="AT83" i="96"/>
  <c r="T83" i="96"/>
  <c r="X83" i="96"/>
  <c r="X85" i="96" s="1"/>
  <c r="E83" i="96"/>
  <c r="Y83" i="96"/>
  <c r="Y85" i="96" s="1"/>
  <c r="AP32" i="96"/>
  <c r="AH32" i="96"/>
  <c r="AG32" i="96"/>
  <c r="AU32" i="96" s="1"/>
  <c r="J32" i="96"/>
  <c r="C32" i="96"/>
  <c r="V32" i="96"/>
  <c r="C6" i="96"/>
  <c r="S54" i="6"/>
  <c r="AP6" i="96"/>
  <c r="R21" i="6"/>
  <c r="S21" i="6" s="1"/>
  <c r="AG6" i="96"/>
  <c r="AH6" i="96"/>
  <c r="J6" i="96"/>
  <c r="I6" i="96"/>
  <c r="I6" i="95"/>
  <c r="B6" i="95"/>
  <c r="Q6" i="96" l="1"/>
  <c r="Q8" i="96" s="1"/>
  <c r="AA17" i="96"/>
  <c r="AQ32" i="96"/>
  <c r="AL32" i="96"/>
  <c r="AK32" i="96"/>
  <c r="AS32" i="96"/>
  <c r="AQ6" i="96"/>
  <c r="AL6" i="96"/>
  <c r="AK6" i="96"/>
  <c r="AJ8" i="96"/>
  <c r="G6" i="95"/>
  <c r="AU6" i="95"/>
  <c r="V83" i="96"/>
  <c r="T85" i="96"/>
  <c r="V85" i="96" s="1"/>
  <c r="Q85" i="96"/>
  <c r="T6" i="96"/>
  <c r="T8" i="96" s="1"/>
  <c r="I8" i="96"/>
  <c r="J8" i="96"/>
  <c r="Y32" i="96"/>
  <c r="H107" i="96"/>
  <c r="H109" i="96" s="1"/>
  <c r="H83" i="96"/>
  <c r="H32" i="96"/>
  <c r="H6" i="96"/>
  <c r="H8" i="96" s="1"/>
  <c r="AE83" i="96"/>
  <c r="BP10" i="96" s="1"/>
  <c r="AD83" i="96"/>
  <c r="D6" i="96"/>
  <c r="F6" i="96"/>
  <c r="AE6" i="96" s="1"/>
  <c r="AN6" i="96"/>
  <c r="D32" i="96"/>
  <c r="F32" i="96"/>
  <c r="AE32" i="96" s="1"/>
  <c r="BP9" i="96" s="1"/>
  <c r="AN32" i="96"/>
  <c r="E6" i="95"/>
  <c r="AZ6" i="95" s="1"/>
  <c r="H210" i="92" s="1"/>
  <c r="Z6" i="95"/>
  <c r="C6" i="95"/>
  <c r="G83" i="96"/>
  <c r="X32" i="96"/>
  <c r="U32" i="96"/>
  <c r="E32" i="96"/>
  <c r="T32" i="96"/>
  <c r="U6" i="96"/>
  <c r="E6" i="96"/>
  <c r="Y6" i="96"/>
  <c r="Y8" i="96" s="1"/>
  <c r="X6" i="96"/>
  <c r="X8" i="96" s="1"/>
  <c r="BO10" i="96" l="1"/>
  <c r="BP7" i="96"/>
  <c r="H222" i="92" s="1"/>
  <c r="BP8" i="96"/>
  <c r="AR6" i="96"/>
  <c r="H85" i="96"/>
  <c r="V6" i="96"/>
  <c r="U8" i="96"/>
  <c r="V8" i="96" s="1"/>
  <c r="G6" i="96"/>
  <c r="AO6" i="96" s="1"/>
  <c r="AT6" i="96" s="1"/>
  <c r="AD6" i="96"/>
  <c r="AI6" i="96"/>
  <c r="AD32" i="96"/>
  <c r="BO9" i="96" s="1"/>
  <c r="AI32" i="96"/>
  <c r="K32" i="96"/>
  <c r="K6" i="96"/>
  <c r="K8" i="96" s="1"/>
  <c r="J6" i="95"/>
  <c r="AE6" i="95"/>
  <c r="G32" i="96"/>
  <c r="AO32" i="96" s="1"/>
  <c r="AT32" i="96" s="1"/>
  <c r="AX32" i="96" s="1"/>
  <c r="AR32" i="96"/>
  <c r="AS6" i="96"/>
  <c r="AQ6" i="95"/>
  <c r="AD6" i="95"/>
  <c r="AC6" i="95"/>
  <c r="H6" i="95"/>
  <c r="P6" i="95" s="1"/>
  <c r="D6" i="95"/>
  <c r="F6" i="95" s="1"/>
  <c r="AL6" i="95" l="1"/>
  <c r="BO7" i="96"/>
  <c r="BO8" i="96"/>
  <c r="AY32" i="96"/>
  <c r="H224" i="92"/>
  <c r="AO6" i="95"/>
  <c r="W6" i="95"/>
  <c r="AP6" i="95"/>
  <c r="AR6" i="95"/>
  <c r="AS6" i="95"/>
  <c r="T6" i="95"/>
  <c r="X6" i="95"/>
  <c r="S6" i="95"/>
  <c r="H221" i="92" l="1"/>
  <c r="U6" i="95"/>
  <c r="I6" i="94" l="1"/>
  <c r="H6" i="94"/>
  <c r="P6" i="94" s="1"/>
  <c r="B6" i="94"/>
  <c r="AG30" i="94" s="1"/>
  <c r="AR6" i="94"/>
  <c r="AD6" i="94"/>
  <c r="AM6" i="94" s="1"/>
  <c r="H47" i="92"/>
  <c r="B6" i="93"/>
  <c r="G6" i="93" s="1"/>
  <c r="I6" i="93"/>
  <c r="AD6" i="93"/>
  <c r="AE6" i="93"/>
  <c r="AR6" i="93"/>
  <c r="O5" i="6"/>
  <c r="O6" i="6" s="1"/>
  <c r="O7" i="6" s="1"/>
  <c r="J29" i="8"/>
  <c r="I29" i="8"/>
  <c r="J25" i="8"/>
  <c r="J26" i="8" s="1"/>
  <c r="J27" i="8" s="1"/>
  <c r="I25" i="8"/>
  <c r="I26" i="8" s="1"/>
  <c r="I27" i="8" s="1"/>
  <c r="C24" i="8"/>
  <c r="C25" i="8"/>
  <c r="C26" i="8"/>
  <c r="C27" i="8"/>
  <c r="C29" i="8"/>
  <c r="C28" i="8"/>
  <c r="C23" i="8"/>
  <c r="J22" i="8"/>
  <c r="J23" i="8" s="1"/>
  <c r="I22" i="8"/>
  <c r="I23" i="8" s="1"/>
  <c r="C22" i="8"/>
  <c r="C21" i="8"/>
  <c r="C20" i="8"/>
  <c r="C19" i="8"/>
  <c r="C18" i="8"/>
  <c r="C17" i="8"/>
  <c r="C16" i="8"/>
  <c r="J15" i="8"/>
  <c r="J16" i="8"/>
  <c r="J17" i="8"/>
  <c r="J18" i="8" s="1"/>
  <c r="J19" i="8" s="1"/>
  <c r="J20" i="8" s="1"/>
  <c r="I15" i="8"/>
  <c r="I16" i="8" s="1"/>
  <c r="I17" i="8" s="1"/>
  <c r="I18" i="8" s="1"/>
  <c r="I19" i="8" s="1"/>
  <c r="I20" i="8" s="1"/>
  <c r="C15" i="8"/>
  <c r="C14" i="8"/>
  <c r="C13" i="8"/>
  <c r="J12" i="8"/>
  <c r="J13" i="8" s="1"/>
  <c r="I12" i="8"/>
  <c r="I13" i="8" s="1"/>
  <c r="C12" i="8"/>
  <c r="C11" i="8"/>
  <c r="C10" i="8"/>
  <c r="C9" i="8"/>
  <c r="C8" i="8"/>
  <c r="J7" i="8"/>
  <c r="J8" i="8"/>
  <c r="J9" i="8" s="1"/>
  <c r="J10" i="8" s="1"/>
  <c r="I7" i="8"/>
  <c r="I8" i="8" s="1"/>
  <c r="I9" i="8" s="1"/>
  <c r="I10" i="8" s="1"/>
  <c r="C7" i="8"/>
  <c r="C6" i="8"/>
  <c r="H144" i="92" l="1"/>
  <c r="O27" i="8"/>
  <c r="H126" i="92"/>
  <c r="I126" i="92" s="1"/>
  <c r="H113" i="92"/>
  <c r="AI8" i="101"/>
  <c r="M107" i="101"/>
  <c r="M83" i="101"/>
  <c r="M85" i="101" s="1"/>
  <c r="AL107" i="101"/>
  <c r="N6" i="101"/>
  <c r="N83" i="101"/>
  <c r="P6" i="101"/>
  <c r="L107" i="101"/>
  <c r="P32" i="101"/>
  <c r="AK107" i="101"/>
  <c r="O32" i="101"/>
  <c r="AM83" i="101"/>
  <c r="N32" i="101"/>
  <c r="AK83" i="101"/>
  <c r="L6" i="101"/>
  <c r="O107" i="101"/>
  <c r="L32" i="101"/>
  <c r="AM107" i="101"/>
  <c r="P107" i="101"/>
  <c r="L83" i="101"/>
  <c r="AN83" i="101"/>
  <c r="AN107" i="101"/>
  <c r="O6" i="101"/>
  <c r="M6" i="101"/>
  <c r="O83" i="101"/>
  <c r="M32" i="101"/>
  <c r="AL83" i="101"/>
  <c r="P83" i="101"/>
  <c r="AO107" i="101"/>
  <c r="AO83" i="101"/>
  <c r="N107" i="101"/>
  <c r="AL6" i="98"/>
  <c r="AI6" i="100"/>
  <c r="AK6" i="100"/>
  <c r="AK6" i="98"/>
  <c r="AH6" i="100"/>
  <c r="AJ6" i="98"/>
  <c r="AJ6" i="100"/>
  <c r="AI6" i="98"/>
  <c r="AH6" i="98"/>
  <c r="AL6" i="100"/>
  <c r="O6" i="98"/>
  <c r="N6" i="99"/>
  <c r="M6" i="100"/>
  <c r="M8" i="100" s="1"/>
  <c r="AK6" i="99"/>
  <c r="AJ6" i="99"/>
  <c r="K6" i="98"/>
  <c r="N6" i="98"/>
  <c r="M6" i="99"/>
  <c r="AW6" i="99"/>
  <c r="K6" i="99"/>
  <c r="M6" i="98"/>
  <c r="AG6" i="99"/>
  <c r="AB6" i="99"/>
  <c r="AI6" i="99"/>
  <c r="L6" i="100"/>
  <c r="AH6" i="99"/>
  <c r="N6" i="100"/>
  <c r="L6" i="98"/>
  <c r="K6" i="100"/>
  <c r="O6" i="100"/>
  <c r="O6" i="99"/>
  <c r="L6" i="99"/>
  <c r="AK83" i="96"/>
  <c r="AJ6" i="94"/>
  <c r="AL6" i="94"/>
  <c r="AN83" i="96"/>
  <c r="AM83" i="96"/>
  <c r="AL83" i="96"/>
  <c r="AK6" i="94"/>
  <c r="AI6" i="94"/>
  <c r="AH6" i="94"/>
  <c r="AO83" i="96"/>
  <c r="M107" i="96"/>
  <c r="O83" i="96"/>
  <c r="AK107" i="96"/>
  <c r="L107" i="96"/>
  <c r="M83" i="96"/>
  <c r="AN107" i="96"/>
  <c r="N83" i="96"/>
  <c r="N107" i="96"/>
  <c r="N109" i="96" s="1"/>
  <c r="L83" i="96"/>
  <c r="O107" i="96"/>
  <c r="P107" i="96"/>
  <c r="P109" i="96" s="1"/>
  <c r="AO107" i="96"/>
  <c r="AM107" i="96"/>
  <c r="P83" i="96"/>
  <c r="AL107" i="96"/>
  <c r="AI8" i="96"/>
  <c r="L6" i="95"/>
  <c r="L32" i="96"/>
  <c r="N32" i="96"/>
  <c r="M6" i="95"/>
  <c r="O6" i="96"/>
  <c r="O6" i="95"/>
  <c r="N6" i="96"/>
  <c r="K6" i="95"/>
  <c r="M32" i="96"/>
  <c r="O32" i="96"/>
  <c r="M6" i="96"/>
  <c r="M8" i="96" s="1"/>
  <c r="AB6" i="95"/>
  <c r="P6" i="96"/>
  <c r="L6" i="96"/>
  <c r="P32" i="96"/>
  <c r="N6" i="95"/>
  <c r="AH6" i="95"/>
  <c r="AG6" i="95"/>
  <c r="AW6" i="95"/>
  <c r="AK6" i="95"/>
  <c r="AJ6" i="95"/>
  <c r="AI6" i="95"/>
  <c r="K6" i="93"/>
  <c r="J13" i="93" s="1"/>
  <c r="O6" i="93"/>
  <c r="L6" i="93"/>
  <c r="M6" i="93"/>
  <c r="N6" i="93"/>
  <c r="O6" i="94"/>
  <c r="O8" i="94" s="1"/>
  <c r="N6" i="94"/>
  <c r="N8" i="94" s="1"/>
  <c r="L6" i="94"/>
  <c r="L8" i="94" s="1"/>
  <c r="M6" i="94"/>
  <c r="M8" i="94" s="1"/>
  <c r="K6" i="94"/>
  <c r="AJ6" i="93"/>
  <c r="AI6" i="93"/>
  <c r="AH6" i="93"/>
  <c r="AL6" i="93"/>
  <c r="AK6" i="93"/>
  <c r="AG13" i="8"/>
  <c r="R8" i="8"/>
  <c r="AG22" i="8"/>
  <c r="R10" i="8"/>
  <c r="AG27" i="8"/>
  <c r="O21" i="8"/>
  <c r="AG20" i="8"/>
  <c r="O17" i="8"/>
  <c r="AG29" i="8"/>
  <c r="R13" i="8"/>
  <c r="AG12" i="8"/>
  <c r="R7" i="8"/>
  <c r="AG26" i="8"/>
  <c r="O20" i="8"/>
  <c r="AG28" i="8"/>
  <c r="R12" i="8"/>
  <c r="AG21" i="8"/>
  <c r="R9" i="8"/>
  <c r="AG15" i="8"/>
  <c r="O12" i="8"/>
  <c r="M10" i="8"/>
  <c r="M11" i="8" s="1"/>
  <c r="AG16" i="8"/>
  <c r="O13" i="8"/>
  <c r="AG25" i="8"/>
  <c r="O19" i="8"/>
  <c r="AG14" i="8"/>
  <c r="O11" i="8"/>
  <c r="AG11" i="8"/>
  <c r="R6" i="8"/>
  <c r="AG17" i="8"/>
  <c r="O14" i="8"/>
  <c r="AG24" i="8"/>
  <c r="O18" i="8"/>
  <c r="AG9" i="8"/>
  <c r="O9" i="8"/>
  <c r="X9" i="8" s="1"/>
  <c r="AG10" i="8"/>
  <c r="O10" i="8"/>
  <c r="X10" i="8" s="1"/>
  <c r="H253" i="92"/>
  <c r="J253" i="92" s="1"/>
  <c r="N8" i="101"/>
  <c r="P8" i="101"/>
  <c r="N109" i="101"/>
  <c r="M8" i="101"/>
  <c r="N85" i="101"/>
  <c r="M109" i="101"/>
  <c r="P109" i="101"/>
  <c r="P85" i="101"/>
  <c r="N8" i="100"/>
  <c r="L8" i="100"/>
  <c r="O8" i="100"/>
  <c r="AG6" i="8"/>
  <c r="X56" i="92"/>
  <c r="O6" i="8"/>
  <c r="M109" i="96"/>
  <c r="M85" i="96"/>
  <c r="P85" i="96"/>
  <c r="N85" i="96"/>
  <c r="N8" i="96"/>
  <c r="O8" i="96"/>
  <c r="P8" i="96"/>
  <c r="AG18" i="8"/>
  <c r="O15" i="8"/>
  <c r="AG7" i="8"/>
  <c r="O7" i="8"/>
  <c r="AG8" i="8"/>
  <c r="O8" i="8"/>
  <c r="AG19" i="8"/>
  <c r="O16" i="8"/>
  <c r="AG23" i="8"/>
  <c r="R11" i="8"/>
  <c r="AM6" i="93"/>
  <c r="AF6" i="94"/>
  <c r="H142" i="92"/>
  <c r="AT6" i="94"/>
  <c r="W6" i="94"/>
  <c r="H8" i="94"/>
  <c r="I8" i="94"/>
  <c r="E6" i="94"/>
  <c r="BB6" i="94" s="1"/>
  <c r="H194" i="92" s="1"/>
  <c r="G6" i="94"/>
  <c r="G8" i="94" s="1"/>
  <c r="T6" i="94"/>
  <c r="C6" i="94"/>
  <c r="C6" i="93"/>
  <c r="E6" i="93"/>
  <c r="J6" i="93" s="1"/>
  <c r="D6" i="94"/>
  <c r="AQ6" i="93"/>
  <c r="T6" i="93"/>
  <c r="W6" i="93"/>
  <c r="S6" i="94"/>
  <c r="S6" i="93"/>
  <c r="AS6" i="93"/>
  <c r="D6" i="93"/>
  <c r="X6" i="94"/>
  <c r="AP6" i="94"/>
  <c r="AP6" i="93"/>
  <c r="AQ6" i="94"/>
  <c r="AT6" i="93"/>
  <c r="AS6" i="94"/>
  <c r="O10" i="6"/>
  <c r="O9" i="6"/>
  <c r="O11" i="6"/>
  <c r="O8" i="6"/>
  <c r="H153" i="92" l="1"/>
  <c r="H145" i="92"/>
  <c r="H152" i="92"/>
  <c r="H146" i="92"/>
  <c r="H151" i="92"/>
  <c r="I151" i="92" s="1"/>
  <c r="H149" i="92"/>
  <c r="H150" i="92"/>
  <c r="H148" i="92"/>
  <c r="I148" i="92" s="1"/>
  <c r="H147" i="92"/>
  <c r="H135" i="92"/>
  <c r="I135" i="92" s="1"/>
  <c r="H127" i="92"/>
  <c r="I127" i="92" s="1"/>
  <c r="H116" i="92"/>
  <c r="H115" i="92"/>
  <c r="I115" i="92" s="1"/>
  <c r="H129" i="92"/>
  <c r="I129" i="92" s="1"/>
  <c r="H134" i="92"/>
  <c r="I134" i="92" s="1"/>
  <c r="H133" i="92"/>
  <c r="I133" i="92" s="1"/>
  <c r="H122" i="92"/>
  <c r="H132" i="92"/>
  <c r="I132" i="92" s="1"/>
  <c r="H121" i="92"/>
  <c r="H117" i="92"/>
  <c r="H131" i="92"/>
  <c r="I131" i="92" s="1"/>
  <c r="H120" i="92"/>
  <c r="H114" i="92"/>
  <c r="H118" i="92"/>
  <c r="I118" i="92" s="1"/>
  <c r="H128" i="92"/>
  <c r="I128" i="92" s="1"/>
  <c r="H130" i="92"/>
  <c r="I130" i="92" s="1"/>
  <c r="H119" i="92"/>
  <c r="R30" i="8"/>
  <c r="R29" i="8"/>
  <c r="O28" i="8"/>
  <c r="O31" i="8"/>
  <c r="O29" i="8"/>
  <c r="O30" i="8"/>
  <c r="O33" i="8"/>
  <c r="O32" i="8"/>
  <c r="O34" i="8"/>
  <c r="R28" i="8"/>
  <c r="L8" i="101"/>
  <c r="Z8" i="101" s="1"/>
  <c r="J17" i="101"/>
  <c r="K13" i="101"/>
  <c r="K15" i="101"/>
  <c r="J13" i="101"/>
  <c r="J15" i="101"/>
  <c r="Z6" i="101"/>
  <c r="I144" i="92"/>
  <c r="H254" i="92"/>
  <c r="J254" i="92" s="1"/>
  <c r="J13" i="100"/>
  <c r="J15" i="100"/>
  <c r="K8" i="100"/>
  <c r="Y8" i="100" s="1"/>
  <c r="I17" i="100"/>
  <c r="I15" i="100"/>
  <c r="I13" i="100"/>
  <c r="Y6" i="100"/>
  <c r="O8" i="101"/>
  <c r="AD15" i="99"/>
  <c r="AE15" i="99"/>
  <c r="AD17" i="99"/>
  <c r="AD13" i="99"/>
  <c r="AE13" i="99"/>
  <c r="AT6" i="99"/>
  <c r="AV6" i="99" s="1"/>
  <c r="AX6" i="99" s="1"/>
  <c r="AX107" i="101"/>
  <c r="AI114" i="101"/>
  <c r="AH114" i="101"/>
  <c r="AH118" i="101"/>
  <c r="AI116" i="101"/>
  <c r="AH116" i="101"/>
  <c r="AH13" i="96"/>
  <c r="AI13" i="96"/>
  <c r="AI15" i="96"/>
  <c r="AH17" i="96"/>
  <c r="AH15" i="96"/>
  <c r="I17" i="99"/>
  <c r="I13" i="99"/>
  <c r="J15" i="99"/>
  <c r="J13" i="99"/>
  <c r="I15" i="99"/>
  <c r="Y6" i="99"/>
  <c r="AA6" i="99" s="1"/>
  <c r="AY6" i="99" s="1"/>
  <c r="J39" i="101"/>
  <c r="Z32" i="101"/>
  <c r="J41" i="101"/>
  <c r="J43" i="101"/>
  <c r="K39" i="101"/>
  <c r="K41" i="101"/>
  <c r="X7" i="8"/>
  <c r="V7" i="8"/>
  <c r="I17" i="95"/>
  <c r="J15" i="95"/>
  <c r="I15" i="95"/>
  <c r="J13" i="95"/>
  <c r="I13" i="95"/>
  <c r="Y6" i="95"/>
  <c r="AA6" i="95" s="1"/>
  <c r="AY6" i="95" s="1"/>
  <c r="O85" i="96"/>
  <c r="V6" i="8"/>
  <c r="AA16" i="8" s="1" a="1"/>
  <c r="AA16" i="8" s="1"/>
  <c r="X6" i="8"/>
  <c r="L85" i="101"/>
  <c r="Z85" i="101" s="1"/>
  <c r="K90" i="101"/>
  <c r="J90" i="101"/>
  <c r="J92" i="101"/>
  <c r="K92" i="101"/>
  <c r="J94" i="101"/>
  <c r="Z83" i="101"/>
  <c r="AH17" i="101"/>
  <c r="AI15" i="101"/>
  <c r="AI13" i="101"/>
  <c r="AH15" i="101"/>
  <c r="AH13" i="101"/>
  <c r="X8" i="8"/>
  <c r="V8" i="8"/>
  <c r="O109" i="96"/>
  <c r="Z32" i="96"/>
  <c r="J39" i="96"/>
  <c r="J41" i="96"/>
  <c r="K41" i="96"/>
  <c r="J43" i="96"/>
  <c r="K39" i="96"/>
  <c r="AH92" i="96"/>
  <c r="AX83" i="96"/>
  <c r="AH94" i="96"/>
  <c r="AH90" i="96"/>
  <c r="AI90" i="96"/>
  <c r="AI92" i="96"/>
  <c r="AE13" i="100"/>
  <c r="AE17" i="100"/>
  <c r="AF15" i="100"/>
  <c r="AE15" i="100"/>
  <c r="AF13" i="100"/>
  <c r="AU6" i="100"/>
  <c r="BA6" i="100" s="1"/>
  <c r="O37" i="8"/>
  <c r="O40" i="8" s="1"/>
  <c r="O43" i="8" s="1"/>
  <c r="O46" i="8" s="1"/>
  <c r="O49" i="8" s="1"/>
  <c r="O52" i="8" s="1"/>
  <c r="O55" i="8" s="1"/>
  <c r="O58" i="8" s="1"/>
  <c r="O61" i="8" s="1"/>
  <c r="O64" i="8" s="1"/>
  <c r="O67" i="8" s="1"/>
  <c r="O70" i="8" s="1"/>
  <c r="O73" i="8" s="1"/>
  <c r="O76" i="8" s="1"/>
  <c r="O79" i="8" s="1"/>
  <c r="O36" i="8"/>
  <c r="O39" i="8" s="1"/>
  <c r="O42" i="8" s="1"/>
  <c r="O45" i="8" s="1"/>
  <c r="O48" i="8" s="1"/>
  <c r="O51" i="8" s="1"/>
  <c r="O54" i="8" s="1"/>
  <c r="O57" i="8" s="1"/>
  <c r="O60" i="8" s="1"/>
  <c r="O63" i="8" s="1"/>
  <c r="O66" i="8" s="1"/>
  <c r="O69" i="8" s="1"/>
  <c r="O72" i="8" s="1"/>
  <c r="O75" i="8" s="1"/>
  <c r="O78" i="8" s="1"/>
  <c r="O81" i="8" s="1"/>
  <c r="O38" i="8"/>
  <c r="O41" i="8" s="1"/>
  <c r="O44" i="8" s="1"/>
  <c r="O47" i="8" s="1"/>
  <c r="O50" i="8" s="1"/>
  <c r="O53" i="8" s="1"/>
  <c r="O56" i="8" s="1"/>
  <c r="O59" i="8" s="1"/>
  <c r="O62" i="8" s="1"/>
  <c r="O65" i="8" s="1"/>
  <c r="O68" i="8" s="1"/>
  <c r="O71" i="8" s="1"/>
  <c r="O74" i="8" s="1"/>
  <c r="O77" i="8" s="1"/>
  <c r="O80" i="8" s="1"/>
  <c r="L85" i="96"/>
  <c r="Z85" i="96" s="1"/>
  <c r="K92" i="96"/>
  <c r="J92" i="96"/>
  <c r="J94" i="96"/>
  <c r="J90" i="96"/>
  <c r="K90" i="96"/>
  <c r="Z83" i="96"/>
  <c r="I121" i="92"/>
  <c r="I153" i="92"/>
  <c r="I122" i="92"/>
  <c r="I150" i="92"/>
  <c r="I120" i="92"/>
  <c r="I152" i="92"/>
  <c r="I149" i="92"/>
  <c r="I119" i="92"/>
  <c r="I147" i="92"/>
  <c r="I117" i="92"/>
  <c r="I146" i="92"/>
  <c r="I116" i="92"/>
  <c r="I145" i="92"/>
  <c r="I15" i="98"/>
  <c r="I11" i="98"/>
  <c r="J13" i="98"/>
  <c r="I13" i="98"/>
  <c r="J11" i="98"/>
  <c r="Y6" i="98"/>
  <c r="L109" i="101"/>
  <c r="Z109" i="101" s="1"/>
  <c r="J114" i="101"/>
  <c r="Z107" i="101"/>
  <c r="K116" i="101"/>
  <c r="J118" i="101"/>
  <c r="J116" i="101"/>
  <c r="K114" i="101"/>
  <c r="AE13" i="95"/>
  <c r="AT6" i="95"/>
  <c r="AV6" i="95" s="1"/>
  <c r="AX6" i="95" s="1"/>
  <c r="AD15" i="95"/>
  <c r="AE15" i="95"/>
  <c r="AD13" i="95"/>
  <c r="AD17" i="95"/>
  <c r="AI92" i="101"/>
  <c r="AI90" i="101"/>
  <c r="AX83" i="101"/>
  <c r="AH90" i="101"/>
  <c r="AH92" i="101"/>
  <c r="AH94" i="101"/>
  <c r="AI114" i="96"/>
  <c r="AH116" i="96"/>
  <c r="AI116" i="96"/>
  <c r="AH118" i="96"/>
  <c r="AH114" i="96"/>
  <c r="AX107" i="96"/>
  <c r="O109" i="101"/>
  <c r="J17" i="96"/>
  <c r="K15" i="96"/>
  <c r="J13" i="96"/>
  <c r="L8" i="96"/>
  <c r="Z8" i="96" s="1"/>
  <c r="K13" i="96"/>
  <c r="J15" i="96"/>
  <c r="Z6" i="96"/>
  <c r="L109" i="96"/>
  <c r="Z109" i="96" s="1"/>
  <c r="K116" i="96"/>
  <c r="J114" i="96"/>
  <c r="J116" i="96"/>
  <c r="J118" i="96"/>
  <c r="K114" i="96"/>
  <c r="Z107" i="96"/>
  <c r="I113" i="92"/>
  <c r="H252" i="92"/>
  <c r="J252" i="92" s="1"/>
  <c r="AE15" i="98"/>
  <c r="AF11" i="98"/>
  <c r="AE13" i="98"/>
  <c r="AE11" i="98"/>
  <c r="AF13" i="98"/>
  <c r="AU6" i="98"/>
  <c r="O85" i="101"/>
  <c r="I254" i="92"/>
  <c r="I15" i="93"/>
  <c r="AU6" i="94"/>
  <c r="H191" i="92" s="1"/>
  <c r="AZ6" i="94"/>
  <c r="AE15" i="94"/>
  <c r="AF15" i="94"/>
  <c r="AE13" i="94"/>
  <c r="AF13" i="94"/>
  <c r="AE17" i="94"/>
  <c r="K8" i="94"/>
  <c r="I17" i="94"/>
  <c r="J15" i="94"/>
  <c r="I15" i="94"/>
  <c r="J13" i="94"/>
  <c r="I13" i="94"/>
  <c r="AF13" i="93"/>
  <c r="AF11" i="93"/>
  <c r="AE13" i="93"/>
  <c r="AE15" i="93"/>
  <c r="AE11" i="93"/>
  <c r="J11" i="93"/>
  <c r="I11" i="93"/>
  <c r="I13" i="93"/>
  <c r="AZ6" i="93"/>
  <c r="H172" i="92" s="1"/>
  <c r="S8" i="94"/>
  <c r="W8" i="94"/>
  <c r="T8" i="94"/>
  <c r="X8" i="94"/>
  <c r="J6" i="94"/>
  <c r="J8" i="94" s="1"/>
  <c r="P8" i="94"/>
  <c r="U6" i="93"/>
  <c r="Y6" i="93" s="1"/>
  <c r="H178" i="92" s="1"/>
  <c r="F6" i="94"/>
  <c r="U6" i="94"/>
  <c r="Y6" i="94" s="1"/>
  <c r="H197" i="92" s="1"/>
  <c r="BB6" i="93"/>
  <c r="H175" i="92" s="1"/>
  <c r="AF6" i="93"/>
  <c r="F6" i="93"/>
  <c r="AU6" i="93"/>
  <c r="H170" i="92" s="1"/>
  <c r="O12" i="6"/>
  <c r="X83" i="92" l="1"/>
  <c r="X75" i="92"/>
  <c r="X77" i="92"/>
  <c r="X86" i="92"/>
  <c r="R127" i="92" a="1"/>
  <c r="R127" i="92" s="1"/>
  <c r="X78" i="92"/>
  <c r="X74" i="92"/>
  <c r="AN6" i="99"/>
  <c r="R6" i="99"/>
  <c r="R6" i="95"/>
  <c r="S6" i="101"/>
  <c r="AA6" i="101" s="1"/>
  <c r="S107" i="101"/>
  <c r="AA107" i="101" s="1"/>
  <c r="S83" i="96"/>
  <c r="AB83" i="96" s="1"/>
  <c r="S107" i="96"/>
  <c r="S109" i="96" s="1"/>
  <c r="R6" i="98"/>
  <c r="Z6" i="98" s="1"/>
  <c r="S83" i="101"/>
  <c r="AA83" i="101" s="1"/>
  <c r="S6" i="96"/>
  <c r="AA12" i="96" s="1"/>
  <c r="R6" i="100"/>
  <c r="R8" i="100" s="1"/>
  <c r="S32" i="96"/>
  <c r="AB32" i="96" s="1"/>
  <c r="AR83" i="101"/>
  <c r="BA83" i="101" s="1"/>
  <c r="AR83" i="96"/>
  <c r="AZ83" i="96" s="1"/>
  <c r="AO6" i="93"/>
  <c r="S32" i="101"/>
  <c r="AA32" i="101" s="1"/>
  <c r="AO6" i="98"/>
  <c r="AV6" i="98" s="1"/>
  <c r="AO6" i="100"/>
  <c r="AV6" i="100" s="1"/>
  <c r="AR107" i="101"/>
  <c r="AZ107" i="101" s="1"/>
  <c r="AR107" i="96"/>
  <c r="AY107" i="96" s="1"/>
  <c r="AN6" i="95"/>
  <c r="H211" i="92"/>
  <c r="V31" i="8"/>
  <c r="V29" i="8"/>
  <c r="V34" i="8"/>
  <c r="V30" i="8"/>
  <c r="V32" i="8"/>
  <c r="I114" i="92"/>
  <c r="V33" i="8"/>
  <c r="V28" i="8"/>
  <c r="H209" i="92"/>
  <c r="BA6" i="95"/>
  <c r="BA6" i="99"/>
  <c r="AO6" i="94"/>
  <c r="H190" i="92" s="1"/>
  <c r="BA6" i="94"/>
  <c r="H192" i="92" s="1"/>
  <c r="R6" i="93"/>
  <c r="R6" i="94"/>
  <c r="H196" i="92" s="1"/>
  <c r="U8" i="94"/>
  <c r="Y8" i="94" s="1"/>
  <c r="AB6" i="101" l="1"/>
  <c r="AA32" i="96"/>
  <c r="AC32" i="96" s="1"/>
  <c r="AF32" i="96" s="1"/>
  <c r="AZ32" i="96" s="1"/>
  <c r="BG9" i="96" s="1"/>
  <c r="BH9" i="96" s="1"/>
  <c r="H214" i="92"/>
  <c r="S8" i="101"/>
  <c r="AB107" i="101"/>
  <c r="AC107" i="101" s="1"/>
  <c r="AF109" i="101" s="1"/>
  <c r="S109" i="101"/>
  <c r="AA13" i="96"/>
  <c r="AA14" i="96" s="1"/>
  <c r="AB6" i="96"/>
  <c r="AA6" i="96"/>
  <c r="AA83" i="96"/>
  <c r="AC83" i="96" s="1"/>
  <c r="AF85" i="96" s="1"/>
  <c r="AB107" i="96"/>
  <c r="S8" i="96"/>
  <c r="AA6" i="98"/>
  <c r="AB6" i="98" s="1"/>
  <c r="AC6" i="98" s="1"/>
  <c r="AB83" i="101"/>
  <c r="AC83" i="101" s="1"/>
  <c r="AF85" i="101" s="1"/>
  <c r="S85" i="101"/>
  <c r="S85" i="96"/>
  <c r="Z6" i="100"/>
  <c r="AA6" i="100"/>
  <c r="AA107" i="96"/>
  <c r="AZ83" i="101"/>
  <c r="AY83" i="101"/>
  <c r="AW6" i="98"/>
  <c r="AX6" i="98" s="1"/>
  <c r="AY6" i="98" s="1"/>
  <c r="BA6" i="98" s="1"/>
  <c r="AB32" i="101"/>
  <c r="AC32" i="101" s="1"/>
  <c r="AF32" i="101" s="1"/>
  <c r="AZ32" i="101" s="1"/>
  <c r="BG9" i="101" s="1"/>
  <c r="BH9" i="101" s="1"/>
  <c r="BA83" i="96"/>
  <c r="AY83" i="96"/>
  <c r="AW6" i="100"/>
  <c r="AX6" i="100" s="1"/>
  <c r="AY6" i="100" s="1"/>
  <c r="AY107" i="101"/>
  <c r="BA107" i="101" s="1"/>
  <c r="BD107" i="101" s="1"/>
  <c r="AZ107" i="96"/>
  <c r="BA107" i="96" s="1"/>
  <c r="BD107" i="96" s="1"/>
  <c r="BG107" i="96" s="1"/>
  <c r="BG11" i="96" s="1"/>
  <c r="AC6" i="101"/>
  <c r="H213" i="92"/>
  <c r="Z6" i="93"/>
  <c r="AA6" i="93"/>
  <c r="R8" i="94"/>
  <c r="H177" i="92"/>
  <c r="AV6" i="93"/>
  <c r="H169" i="92"/>
  <c r="AW6" i="94"/>
  <c r="AV6" i="94"/>
  <c r="AW6" i="93"/>
  <c r="Z6" i="94"/>
  <c r="AA6" i="94"/>
  <c r="BH11" i="96" l="1"/>
  <c r="H216" i="92"/>
  <c r="F216" i="92" s="1"/>
  <c r="BB83" i="96"/>
  <c r="BC84" i="96" s="1"/>
  <c r="AC107" i="96"/>
  <c r="AF109" i="96" s="1"/>
  <c r="AC6" i="96"/>
  <c r="AF8" i="96" s="1"/>
  <c r="BB83" i="101"/>
  <c r="BC84" i="101" s="1"/>
  <c r="AB6" i="100"/>
  <c r="AC6" i="100" s="1"/>
  <c r="BC6" i="100" s="1"/>
  <c r="BC6" i="98"/>
  <c r="BG107" i="101"/>
  <c r="BG11" i="101" s="1"/>
  <c r="BH11" i="101" s="1"/>
  <c r="AF8" i="101"/>
  <c r="AF6" i="101"/>
  <c r="AB6" i="93"/>
  <c r="AC6" i="93" s="1"/>
  <c r="H180" i="92" s="1"/>
  <c r="AX6" i="93"/>
  <c r="AX6" i="94"/>
  <c r="AY6" i="94" s="1"/>
  <c r="AB6" i="94"/>
  <c r="H198" i="92" s="1"/>
  <c r="BC83" i="101" l="1"/>
  <c r="BF83" i="101" s="1"/>
  <c r="BG10" i="101" s="1"/>
  <c r="BH10" i="101" s="1"/>
  <c r="U241" i="92"/>
  <c r="AB239" i="92"/>
  <c r="J3" i="92"/>
  <c r="AF6" i="96"/>
  <c r="BC83" i="96"/>
  <c r="BF83" i="96" s="1"/>
  <c r="BG10" i="96" s="1"/>
  <c r="AV6" i="101"/>
  <c r="BG8" i="101" s="1"/>
  <c r="BH8" i="101" s="1"/>
  <c r="AU6" i="101"/>
  <c r="BG7" i="101" s="1"/>
  <c r="BH7" i="101" s="1"/>
  <c r="AU6" i="96"/>
  <c r="BG7" i="96" s="1"/>
  <c r="AV6" i="96"/>
  <c r="BG8" i="96" s="1"/>
  <c r="BH8" i="96" s="1"/>
  <c r="H179" i="92"/>
  <c r="AC6" i="94"/>
  <c r="H199" i="92" s="1"/>
  <c r="H202" i="92" s="1"/>
  <c r="AY6" i="93"/>
  <c r="BA6" i="93" s="1"/>
  <c r="H171" i="92"/>
  <c r="BH7" i="96" l="1"/>
  <c r="H227" i="92" s="1"/>
  <c r="H229" i="92" s="1"/>
  <c r="F229" i="92" s="1"/>
  <c r="H226" i="92"/>
  <c r="BH10" i="96"/>
  <c r="BC6" i="94"/>
  <c r="H201" i="92" s="1"/>
  <c r="H204" i="92" s="1"/>
  <c r="H173" i="92"/>
  <c r="H183" i="92" s="1"/>
  <c r="BC6" i="93"/>
  <c r="H182" i="92" s="1"/>
  <c r="AB240" i="92" l="1"/>
  <c r="J4" i="92"/>
  <c r="U242" i="92"/>
  <c r="X245" i="92" s="1"/>
  <c r="H185" i="92"/>
  <c r="F185" i="92" s="1"/>
  <c r="F4" i="92"/>
  <c r="F204" i="92"/>
  <c r="AB238" i="92"/>
  <c r="U240" i="92"/>
  <c r="AB237" i="92" l="1"/>
  <c r="U239" i="92"/>
  <c r="X241" i="92" s="1"/>
  <c r="F3" i="92"/>
  <c r="X244" i="92"/>
  <c r="X243" i="92"/>
  <c r="X242" i="92"/>
  <c r="X239" i="92" l="1"/>
  <c r="H242" i="92" s="1"/>
  <c r="F242" i="92" s="1"/>
  <c r="X240" i="92"/>
  <c r="F5" i="9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tc={23294385-45C6-47A4-A980-0BB7287C3CCB}</author>
  </authors>
  <commentList>
    <comment ref="F50" authorId="0" shapeId="0" xr:uid="{23294385-45C6-47A4-A980-0BB7287C3CCB}">
      <text>
        <t xml:space="preserve">[Commento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"la resistenza a taglio per rotolamento (rolling shear) è approssimativamente uguale al doppio della resistenza a trazione in direzione perpendicolare alla fibratura"
Per quali verifiche si deve adottare la resistenza a "rototaglio"? - promo_legno (promolegno.com)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tc={222E7172-4C1F-4512-94F6-87163B4A7FDD}</author>
  </authors>
  <commentList>
    <comment ref="AM6" authorId="0" shapeId="0" xr:uid="{222E7172-4C1F-4512-94F6-87163B4A7FDD}">
      <text>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EC5 sezione 6.1.5</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tc={A82E0F57-CE29-4910-A5B7-0FBFC6CF6114}</author>
  </authors>
  <commentList>
    <comment ref="AM6" authorId="0" shapeId="0" xr:uid="{A82E0F57-CE29-4910-A5B7-0FBFC6CF6114}">
      <text>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EC5 sezione 6.1.5</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<sst xmlns="http://schemas.openxmlformats.org/spreadsheetml/2006/main" count="3364" uniqueCount="1373">
  <si>
    <t>C24</t>
  </si>
  <si>
    <t>GL24h</t>
  </si>
  <si>
    <t>LVL</t>
  </si>
  <si>
    <t>Trave</t>
  </si>
  <si>
    <t>-</t>
  </si>
  <si>
    <t>C50</t>
  </si>
  <si>
    <t>CLT</t>
  </si>
  <si>
    <t>RESISTENZA FINALE</t>
  </si>
  <si>
    <t>Geometria e caratteristiche viti</t>
  </si>
  <si>
    <t>Tipo di vite</t>
  </si>
  <si>
    <t>Diametro</t>
  </si>
  <si>
    <t>Lunghezza</t>
  </si>
  <si>
    <r>
      <t>M</t>
    </r>
    <r>
      <rPr>
        <vertAlign val="subscript"/>
        <sz val="11"/>
        <color theme="1"/>
        <rFont val="Verdana"/>
        <family val="2"/>
      </rPr>
      <t>y,Rk</t>
    </r>
  </si>
  <si>
    <r>
      <t>f</t>
    </r>
    <r>
      <rPr>
        <vertAlign val="subscript"/>
        <sz val="11"/>
        <color theme="1"/>
        <rFont val="Verdana"/>
        <family val="2"/>
      </rPr>
      <t>tens,k</t>
    </r>
  </si>
  <si>
    <t>mm</t>
  </si>
  <si>
    <t>Nmm</t>
  </si>
  <si>
    <t>N</t>
  </si>
  <si>
    <t>LBS525</t>
  </si>
  <si>
    <t>LBS</t>
  </si>
  <si>
    <t>x</t>
  </si>
  <si>
    <t>LBS540</t>
  </si>
  <si>
    <t>LBS550</t>
  </si>
  <si>
    <t>LBS560</t>
  </si>
  <si>
    <t>LBS570</t>
  </si>
  <si>
    <t>LBS760</t>
  </si>
  <si>
    <t>LBS780</t>
  </si>
  <si>
    <t>LBS7100</t>
  </si>
  <si>
    <t>KKF540</t>
  </si>
  <si>
    <t>KKF</t>
  </si>
  <si>
    <t>KKF550</t>
  </si>
  <si>
    <t>KKF560</t>
  </si>
  <si>
    <t>KKF570</t>
  </si>
  <si>
    <t>KKF580</t>
  </si>
  <si>
    <t>KKF590</t>
  </si>
  <si>
    <t>KKF5100</t>
  </si>
  <si>
    <t>KKF680</t>
  </si>
  <si>
    <t>KKF6100</t>
  </si>
  <si>
    <t>KKF6120</t>
  </si>
  <si>
    <t>HBSPEVO550</t>
  </si>
  <si>
    <t>HBS PLATE EVO</t>
  </si>
  <si>
    <t>HBSPEVO560</t>
  </si>
  <si>
    <t>HBSPEVO570</t>
  </si>
  <si>
    <t>HBSPEVO580</t>
  </si>
  <si>
    <t>HBSPEVO680</t>
  </si>
  <si>
    <t>HBSPEVO690</t>
  </si>
  <si>
    <t>Legno</t>
  </si>
  <si>
    <r>
      <t>ρ</t>
    </r>
    <r>
      <rPr>
        <vertAlign val="subscript"/>
        <sz val="10"/>
        <color theme="1"/>
        <rFont val="Verdana"/>
        <family val="2"/>
      </rPr>
      <t>k</t>
    </r>
    <r>
      <rPr>
        <sz val="10"/>
        <color theme="1"/>
        <rFont val="Verdana"/>
        <family val="2"/>
      </rPr>
      <t xml:space="preserve"> 
(kg/m</t>
    </r>
    <r>
      <rPr>
        <vertAlign val="superscript"/>
        <sz val="10"/>
        <color theme="1"/>
        <rFont val="Verdana"/>
        <family val="2"/>
      </rPr>
      <t>3</t>
    </r>
    <r>
      <rPr>
        <sz val="10"/>
        <color theme="1"/>
        <rFont val="Verdana"/>
        <family val="2"/>
      </rPr>
      <t>)</t>
    </r>
  </si>
  <si>
    <t>Modello</t>
  </si>
  <si>
    <t>Altezza</t>
  </si>
  <si>
    <t>Larghezza modulo</t>
  </si>
  <si>
    <t>Numero di connettori per modulo</t>
  </si>
  <si>
    <t>Numero di moduli</t>
  </si>
  <si>
    <r>
      <t>Parte numerica k</t>
    </r>
    <r>
      <rPr>
        <b/>
        <vertAlign val="subscript"/>
        <sz val="10"/>
        <color theme="1"/>
        <rFont val="Verdana"/>
        <family val="2"/>
      </rPr>
      <t>H,2</t>
    </r>
  </si>
  <si>
    <r>
      <t>F</t>
    </r>
    <r>
      <rPr>
        <b/>
        <vertAlign val="subscript"/>
        <sz val="10"/>
        <color theme="1"/>
        <rFont val="Verdana"/>
        <family val="2"/>
      </rPr>
      <t>2,alu,Rk</t>
    </r>
  </si>
  <si>
    <t>kN</t>
  </si>
  <si>
    <t>GL20h</t>
  </si>
  <si>
    <t>Lock-T 80</t>
  </si>
  <si>
    <t>GL22h</t>
  </si>
  <si>
    <t>Lock-T 100</t>
  </si>
  <si>
    <t>Lock-T 120</t>
  </si>
  <si>
    <t>GL26h</t>
  </si>
  <si>
    <t>Lock-T 135</t>
  </si>
  <si>
    <t>GL28h</t>
  </si>
  <si>
    <t>Lock-T 175</t>
  </si>
  <si>
    <t>GL30h</t>
  </si>
  <si>
    <t>Lock-T 215</t>
  </si>
  <si>
    <t>GL32h</t>
  </si>
  <si>
    <t>Lock-T 100 FLOOR</t>
  </si>
  <si>
    <t>GL20c</t>
  </si>
  <si>
    <t>Lock-T 135 FLOOR</t>
  </si>
  <si>
    <t>GL22c</t>
  </si>
  <si>
    <t>GL24c</t>
  </si>
  <si>
    <t>GL26c</t>
  </si>
  <si>
    <t>GL28c</t>
  </si>
  <si>
    <t>GL30c</t>
  </si>
  <si>
    <t>GL32c</t>
  </si>
  <si>
    <t>C14</t>
  </si>
  <si>
    <t>C16</t>
  </si>
  <si>
    <t>C18</t>
  </si>
  <si>
    <t>C20</t>
  </si>
  <si>
    <t>C22</t>
  </si>
  <si>
    <t>C27</t>
  </si>
  <si>
    <t>C30</t>
  </si>
  <si>
    <t>C35</t>
  </si>
  <si>
    <t>C40</t>
  </si>
  <si>
    <t>C45</t>
  </si>
  <si>
    <t>GEOMETRIA LOCK</t>
  </si>
  <si>
    <t>RESISTENZA TRAVE SECONDARIA</t>
  </si>
  <si>
    <t>RESISTENZA TRAVE PRIMARIA</t>
  </si>
  <si>
    <t>RESISTENZA ALLUMINIO</t>
  </si>
  <si>
    <t>Modello 
Lock</t>
  </si>
  <si>
    <t>Altezza
(mm)</t>
  </si>
  <si>
    <t>Modulo</t>
  </si>
  <si>
    <t>Larghezza Lock</t>
  </si>
  <si>
    <t>Spessore Lock 
(mm)</t>
  </si>
  <si>
    <t>Tipo di legno</t>
  </si>
  <si>
    <t>Tipo di connettore</t>
  </si>
  <si>
    <t>Numero connettori</t>
  </si>
  <si>
    <t>d
(mm)</t>
  </si>
  <si>
    <t>l
(mm)</t>
  </si>
  <si>
    <t>Filetto b
(mm)</t>
  </si>
  <si>
    <r>
      <t>M</t>
    </r>
    <r>
      <rPr>
        <vertAlign val="subscript"/>
        <sz val="11"/>
        <color theme="1"/>
        <rFont val="Verdana"/>
        <family val="2"/>
      </rPr>
      <t>y,Rk</t>
    </r>
    <r>
      <rPr>
        <sz val="11"/>
        <color theme="1"/>
        <rFont val="Verdana"/>
        <family val="2"/>
      </rPr>
      <t xml:space="preserve">
(Nmm)</t>
    </r>
  </si>
  <si>
    <r>
      <t>f</t>
    </r>
    <r>
      <rPr>
        <vertAlign val="subscript"/>
        <sz val="11"/>
        <color theme="1"/>
        <rFont val="Verdana"/>
        <family val="2"/>
      </rPr>
      <t>tens,k</t>
    </r>
    <r>
      <rPr>
        <sz val="11"/>
        <color theme="1"/>
        <rFont val="Verdana"/>
        <family val="2"/>
      </rPr>
      <t xml:space="preserve">
(N)</t>
    </r>
  </si>
  <si>
    <r>
      <t>ρ</t>
    </r>
    <r>
      <rPr>
        <vertAlign val="subscript"/>
        <sz val="11"/>
        <color theme="1"/>
        <rFont val="Verdana"/>
        <family val="2"/>
      </rPr>
      <t>k</t>
    </r>
    <r>
      <rPr>
        <sz val="11"/>
        <color theme="1"/>
        <rFont val="Verdana"/>
        <family val="2"/>
      </rPr>
      <t xml:space="preserve"> 
(kg/m</t>
    </r>
    <r>
      <rPr>
        <vertAlign val="superscript"/>
        <sz val="11"/>
        <color theme="1"/>
        <rFont val="Verdana"/>
        <family val="2"/>
      </rPr>
      <t>3</t>
    </r>
    <r>
      <rPr>
        <sz val="11"/>
        <color theme="1"/>
        <rFont val="Verdana"/>
        <family val="2"/>
      </rPr>
      <t>)</t>
    </r>
  </si>
  <si>
    <r>
      <t>f</t>
    </r>
    <r>
      <rPr>
        <vertAlign val="subscript"/>
        <sz val="11"/>
        <color theme="1"/>
        <rFont val="Verdana"/>
        <family val="2"/>
      </rPr>
      <t>h,k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</si>
  <si>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ax,Rk</t>
    </r>
    <r>
      <rPr>
        <sz val="11"/>
        <color theme="1"/>
        <rFont val="Verdana"/>
        <family val="2"/>
      </rPr>
      <t xml:space="preserve">
(N)</t>
    </r>
  </si>
  <si>
    <r>
      <t>F</t>
    </r>
    <r>
      <rPr>
        <vertAlign val="subscript"/>
        <sz val="11"/>
        <color theme="1"/>
        <rFont val="Verdana"/>
        <family val="2"/>
      </rPr>
      <t xml:space="preserve">v,Rk </t>
    </r>
    <r>
      <rPr>
        <sz val="11"/>
        <color theme="1"/>
        <rFont val="Verdana"/>
        <family val="2"/>
      </rPr>
      <t>(a)
(N)</t>
    </r>
  </si>
  <si>
    <r>
      <t>F</t>
    </r>
    <r>
      <rPr>
        <vertAlign val="subscript"/>
        <sz val="11"/>
        <color theme="1"/>
        <rFont val="Verdana"/>
        <family val="2"/>
      </rPr>
      <t xml:space="preserve">v,Rk </t>
    </r>
    <r>
      <rPr>
        <sz val="11"/>
        <color theme="1"/>
        <rFont val="Verdana"/>
        <family val="2"/>
      </rPr>
      <t>(b)
(N)</t>
    </r>
  </si>
  <si>
    <r>
      <t>F</t>
    </r>
    <r>
      <rPr>
        <vertAlign val="subscript"/>
        <sz val="11"/>
        <color theme="1"/>
        <rFont val="Verdana"/>
        <family val="2"/>
      </rPr>
      <t>v,J,Rk</t>
    </r>
    <r>
      <rPr>
        <sz val="11"/>
        <color theme="1"/>
        <rFont val="Verdana"/>
        <family val="2"/>
      </rPr>
      <t xml:space="preserve">
(N)</t>
    </r>
  </si>
  <si>
    <r>
      <t>F</t>
    </r>
    <r>
      <rPr>
        <vertAlign val="subscript"/>
        <sz val="11"/>
        <color theme="1"/>
        <rFont val="Verdana"/>
        <family val="2"/>
      </rPr>
      <t>2,J,Rk</t>
    </r>
    <r>
      <rPr>
        <sz val="11"/>
        <color theme="1"/>
        <rFont val="Verdana"/>
        <family val="2"/>
      </rPr>
      <t xml:space="preserve">
(N)</t>
    </r>
  </si>
  <si>
    <t xml:space="preserve">α
</t>
  </si>
  <si>
    <t>a</t>
  </si>
  <si>
    <t>b</t>
  </si>
  <si>
    <r>
      <t>k</t>
    </r>
    <r>
      <rPr>
        <vertAlign val="subscript"/>
        <sz val="11"/>
        <color theme="1"/>
        <rFont val="Verdana"/>
        <family val="2"/>
      </rPr>
      <t>ax</t>
    </r>
  </si>
  <si>
    <r>
      <t>k</t>
    </r>
    <r>
      <rPr>
        <vertAlign val="subscript"/>
        <sz val="11"/>
        <color theme="1"/>
        <rFont val="Verdana"/>
        <family val="2"/>
      </rPr>
      <t>β</t>
    </r>
  </si>
  <si>
    <r>
      <t>f</t>
    </r>
    <r>
      <rPr>
        <vertAlign val="subscript"/>
        <sz val="11"/>
        <color theme="1"/>
        <rFont val="Verdana"/>
        <family val="2"/>
      </rPr>
      <t>ax,k</t>
    </r>
  </si>
  <si>
    <r>
      <t>F</t>
    </r>
    <r>
      <rPr>
        <vertAlign val="subscript"/>
        <sz val="11"/>
        <color theme="1"/>
        <rFont val="Verdana"/>
        <family val="2"/>
      </rPr>
      <t>ax,H,Rk</t>
    </r>
    <r>
      <rPr>
        <sz val="11"/>
        <color theme="1"/>
        <rFont val="Verdana"/>
        <family val="2"/>
      </rPr>
      <t xml:space="preserve">
(N)</t>
    </r>
  </si>
  <si>
    <r>
      <t>F</t>
    </r>
    <r>
      <rPr>
        <vertAlign val="subscript"/>
        <sz val="11"/>
        <color theme="1"/>
        <rFont val="Verdana"/>
        <family val="2"/>
      </rPr>
      <t>v,H,Rk</t>
    </r>
    <r>
      <rPr>
        <sz val="11"/>
        <color theme="1"/>
        <rFont val="Verdana"/>
        <family val="2"/>
      </rPr>
      <t xml:space="preserve">
(N)</t>
    </r>
  </si>
  <si>
    <r>
      <t>F</t>
    </r>
    <r>
      <rPr>
        <vertAlign val="subscript"/>
        <sz val="11"/>
        <color theme="1"/>
        <rFont val="Verdana"/>
        <family val="2"/>
      </rPr>
      <t>2,H,Rk</t>
    </r>
    <r>
      <rPr>
        <sz val="11"/>
        <color theme="1"/>
        <rFont val="Verdana"/>
        <family val="2"/>
      </rPr>
      <t xml:space="preserve">
(N)</t>
    </r>
  </si>
  <si>
    <r>
      <t>k</t>
    </r>
    <r>
      <rPr>
        <vertAlign val="subscript"/>
        <sz val="11"/>
        <color theme="1"/>
        <rFont val="Verdana"/>
        <family val="2"/>
      </rPr>
      <t>H,2</t>
    </r>
  </si>
  <si>
    <r>
      <t>F</t>
    </r>
    <r>
      <rPr>
        <vertAlign val="subscript"/>
        <sz val="11"/>
        <color theme="1"/>
        <rFont val="Verdana"/>
        <family val="2"/>
      </rPr>
      <t>2,alu,Rk</t>
    </r>
    <r>
      <rPr>
        <sz val="11"/>
        <color theme="1"/>
        <rFont val="Verdana"/>
        <family val="2"/>
      </rPr>
      <t xml:space="preserve">
(N)</t>
    </r>
  </si>
  <si>
    <r>
      <t>F</t>
    </r>
    <r>
      <rPr>
        <vertAlign val="subscript"/>
        <sz val="11"/>
        <color theme="1"/>
        <rFont val="Verdana"/>
        <family val="2"/>
      </rPr>
      <t>2,Rk</t>
    </r>
    <r>
      <rPr>
        <sz val="11"/>
        <color theme="1"/>
        <rFont val="Verdana"/>
        <family val="2"/>
      </rPr>
      <t xml:space="preserve">
(KN)</t>
    </r>
  </si>
  <si>
    <r>
      <t xml:space="preserve">LOCK-T 
</t>
    </r>
    <r>
      <rPr>
        <sz val="12"/>
        <color theme="1"/>
        <rFont val="Verdana"/>
        <family val="2"/>
      </rPr>
      <t xml:space="preserve">CALCOLO RESISTENZA CARATTERISTICA </t>
    </r>
  </si>
  <si>
    <t>β</t>
  </si>
  <si>
    <t>Lock-T 240</t>
  </si>
  <si>
    <t>Lock-T 265</t>
  </si>
  <si>
    <t>Lock-T 290</t>
  </si>
  <si>
    <r>
      <t>F</t>
    </r>
    <r>
      <rPr>
        <vertAlign val="subscript"/>
        <sz val="11"/>
        <color theme="1"/>
        <rFont val="Verdana"/>
        <family val="2"/>
      </rPr>
      <t>3,Rk</t>
    </r>
    <r>
      <rPr>
        <sz val="11"/>
        <color theme="1"/>
        <rFont val="Verdana"/>
        <family val="2"/>
      </rPr>
      <t xml:space="preserve">
(KN)</t>
    </r>
  </si>
  <si>
    <r>
      <t>F</t>
    </r>
    <r>
      <rPr>
        <vertAlign val="subscript"/>
        <sz val="11"/>
        <color theme="1"/>
        <rFont val="Verdana"/>
        <family val="2"/>
      </rPr>
      <t>3,H,Rk</t>
    </r>
    <r>
      <rPr>
        <sz val="11"/>
        <color theme="1"/>
        <rFont val="Verdana"/>
        <family val="2"/>
      </rPr>
      <t xml:space="preserve">
(N)</t>
    </r>
  </si>
  <si>
    <r>
      <t>F</t>
    </r>
    <r>
      <rPr>
        <vertAlign val="subscript"/>
        <sz val="11"/>
        <color theme="1"/>
        <rFont val="Verdana"/>
        <family val="2"/>
      </rPr>
      <t>3,J,Rk</t>
    </r>
    <r>
      <rPr>
        <sz val="11"/>
        <color theme="1"/>
        <rFont val="Verdana"/>
        <family val="2"/>
      </rPr>
      <t xml:space="preserve">
(N)</t>
    </r>
  </si>
  <si>
    <t>Numero di connettori inclinati per modulo</t>
  </si>
  <si>
    <t>B</t>
  </si>
  <si>
    <t>H</t>
  </si>
  <si>
    <t>Tipologia di legno</t>
  </si>
  <si>
    <t>Scelta del connettore</t>
  </si>
  <si>
    <t>Base della trave</t>
  </si>
  <si>
    <t>Altezza della trave</t>
  </si>
  <si>
    <t>Classe di servizio</t>
  </si>
  <si>
    <t xml:space="preserve">Classe di durata del carico </t>
  </si>
  <si>
    <r>
      <t>γ</t>
    </r>
    <r>
      <rPr>
        <vertAlign val="subscript"/>
        <sz val="11"/>
        <color theme="1"/>
        <rFont val="Verdana"/>
        <family val="2"/>
      </rPr>
      <t>M</t>
    </r>
  </si>
  <si>
    <t>Permanente</t>
  </si>
  <si>
    <t>classe di servizio</t>
  </si>
  <si>
    <t>colonna A</t>
  </si>
  <si>
    <t>colonna B</t>
  </si>
  <si>
    <t>unioni</t>
  </si>
  <si>
    <t>NO</t>
  </si>
  <si>
    <t>Lunga durata</t>
  </si>
  <si>
    <t>Media durata</t>
  </si>
  <si>
    <t>Breve durata</t>
  </si>
  <si>
    <r>
      <t>F</t>
    </r>
    <r>
      <rPr>
        <b/>
        <vertAlign val="subscript"/>
        <sz val="10"/>
        <color theme="1"/>
        <rFont val="Verdana"/>
        <family val="2"/>
      </rPr>
      <t>1,alu,Rk</t>
    </r>
  </si>
  <si>
    <r>
      <t>k</t>
    </r>
    <r>
      <rPr>
        <b/>
        <vertAlign val="subscript"/>
        <sz val="10"/>
        <color theme="1"/>
        <rFont val="Verdana"/>
        <family val="2"/>
      </rPr>
      <t>LOCK</t>
    </r>
  </si>
  <si>
    <r>
      <t>k</t>
    </r>
    <r>
      <rPr>
        <vertAlign val="subscript"/>
        <sz val="11"/>
        <color theme="1"/>
        <rFont val="Verdana"/>
        <family val="2"/>
      </rPr>
      <t>LOCK</t>
    </r>
  </si>
  <si>
    <r>
      <t>F</t>
    </r>
    <r>
      <rPr>
        <vertAlign val="subscript"/>
        <sz val="11"/>
        <color theme="1"/>
        <rFont val="Verdana"/>
        <family val="2"/>
      </rPr>
      <t>1,alu,Rk</t>
    </r>
    <r>
      <rPr>
        <sz val="11"/>
        <color theme="1"/>
        <rFont val="Verdana"/>
        <family val="2"/>
      </rPr>
      <t xml:space="preserve">
(N)</t>
    </r>
  </si>
  <si>
    <r>
      <t>F</t>
    </r>
    <r>
      <rPr>
        <vertAlign val="subscript"/>
        <sz val="11"/>
        <color theme="1"/>
        <rFont val="Verdana"/>
        <family val="2"/>
      </rPr>
      <t>ax,J,Rk</t>
    </r>
    <r>
      <rPr>
        <sz val="11"/>
        <color theme="1"/>
        <rFont val="Verdana"/>
        <family val="2"/>
      </rPr>
      <t>/k</t>
    </r>
    <r>
      <rPr>
        <vertAlign val="subscript"/>
        <sz val="11"/>
        <color theme="1"/>
        <rFont val="Verdana"/>
        <family val="2"/>
      </rPr>
      <t xml:space="preserve">LOCK </t>
    </r>
    <r>
      <rPr>
        <sz val="11"/>
        <color theme="1"/>
        <rFont val="Verdana"/>
        <family val="2"/>
      </rPr>
      <t>(a)
(N)</t>
    </r>
  </si>
  <si>
    <r>
      <t>F</t>
    </r>
    <r>
      <rPr>
        <vertAlign val="subscript"/>
        <sz val="11"/>
        <color theme="1"/>
        <rFont val="Verdana"/>
        <family val="2"/>
      </rPr>
      <t>tens,J,k</t>
    </r>
    <r>
      <rPr>
        <sz val="11"/>
        <color theme="1"/>
        <rFont val="Verdana"/>
        <family val="2"/>
      </rPr>
      <t xml:space="preserve">
(N)</t>
    </r>
  </si>
  <si>
    <r>
      <t>F</t>
    </r>
    <r>
      <rPr>
        <vertAlign val="subscript"/>
        <sz val="11"/>
        <color theme="1"/>
        <rFont val="Verdana"/>
        <family val="2"/>
      </rPr>
      <t>tens,H,k</t>
    </r>
    <r>
      <rPr>
        <sz val="11"/>
        <color theme="1"/>
        <rFont val="Verdana"/>
        <family val="2"/>
      </rPr>
      <t xml:space="preserve">
(N)</t>
    </r>
  </si>
  <si>
    <r>
      <t>F</t>
    </r>
    <r>
      <rPr>
        <vertAlign val="subscript"/>
        <sz val="11"/>
        <color theme="1"/>
        <rFont val="Verdana"/>
        <family val="2"/>
      </rPr>
      <t>ax,H,Rk</t>
    </r>
    <r>
      <rPr>
        <sz val="11"/>
        <color theme="1"/>
        <rFont val="Verdana"/>
        <family val="2"/>
      </rPr>
      <t>/k</t>
    </r>
    <r>
      <rPr>
        <vertAlign val="subscript"/>
        <sz val="11"/>
        <color theme="1"/>
        <rFont val="Verdana"/>
        <family val="2"/>
      </rPr>
      <t xml:space="preserve">LOCK </t>
    </r>
    <r>
      <rPr>
        <sz val="11"/>
        <color theme="1"/>
        <rFont val="Verdana"/>
        <family val="2"/>
      </rPr>
      <t>(a)
(N)</t>
    </r>
  </si>
  <si>
    <r>
      <t>Area lock
A</t>
    </r>
    <r>
      <rPr>
        <b/>
        <vertAlign val="subscript"/>
        <sz val="10"/>
        <color theme="1"/>
        <rFont val="Verdana"/>
        <family val="2"/>
      </rPr>
      <t>LOCK</t>
    </r>
  </si>
  <si>
    <t>mmq</t>
  </si>
  <si>
    <t>N/mmq</t>
  </si>
  <si>
    <r>
      <t>f</t>
    </r>
    <r>
      <rPr>
        <vertAlign val="subscript"/>
        <sz val="10"/>
        <color theme="1"/>
        <rFont val="Verdana"/>
        <family val="2"/>
      </rPr>
      <t>c,0,k</t>
    </r>
  </si>
  <si>
    <r>
      <t>f</t>
    </r>
    <r>
      <rPr>
        <vertAlign val="subscript"/>
        <sz val="10"/>
        <color theme="1"/>
        <rFont val="Verdana"/>
        <family val="2"/>
      </rPr>
      <t>c,90,k</t>
    </r>
  </si>
  <si>
    <r>
      <t>n</t>
    </r>
    <r>
      <rPr>
        <vertAlign val="subscript"/>
        <sz val="10"/>
        <color theme="1"/>
        <rFont val="Verdana"/>
        <family val="2"/>
      </rPr>
      <t>M</t>
    </r>
  </si>
  <si>
    <r>
      <t>n</t>
    </r>
    <r>
      <rPr>
        <vertAlign val="subscript"/>
        <sz val="10"/>
        <color theme="1"/>
        <rFont val="Verdana"/>
        <family val="2"/>
      </rPr>
      <t>ef</t>
    </r>
  </si>
  <si>
    <r>
      <t>k</t>
    </r>
    <r>
      <rPr>
        <vertAlign val="subscript"/>
        <sz val="10"/>
        <color theme="1"/>
        <rFont val="Verdana"/>
        <family val="2"/>
      </rPr>
      <t>lat</t>
    </r>
  </si>
  <si>
    <r>
      <t>f</t>
    </r>
    <r>
      <rPr>
        <vertAlign val="subscript"/>
        <sz val="11"/>
        <color theme="1"/>
        <rFont val="Verdana"/>
        <family val="2"/>
      </rPr>
      <t>c,0,k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</si>
  <si>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c,90,k</t>
    </r>
    <r>
      <rPr>
        <sz val="11"/>
        <color theme="1"/>
        <rFont val="Verdana"/>
        <family val="2"/>
      </rPr>
      <t xml:space="preserve">
(N/mm</t>
    </r>
    <r>
      <rPr>
        <vertAlign val="superscript"/>
        <sz val="11"/>
        <color theme="1"/>
        <rFont val="Verdana"/>
        <family val="2"/>
      </rPr>
      <t>2</t>
    </r>
    <r>
      <rPr>
        <sz val="11"/>
        <color theme="1"/>
        <rFont val="Verdana"/>
        <family val="2"/>
      </rPr>
      <t>)</t>
    </r>
  </si>
  <si>
    <r>
      <t>k</t>
    </r>
    <r>
      <rPr>
        <vertAlign val="subscript"/>
        <sz val="11"/>
        <color theme="1"/>
        <rFont val="Verdana"/>
        <family val="2"/>
      </rPr>
      <t>c,90</t>
    </r>
  </si>
  <si>
    <r>
      <t>A</t>
    </r>
    <r>
      <rPr>
        <vertAlign val="subscript"/>
        <sz val="11"/>
        <color theme="1"/>
        <rFont val="Verdana"/>
        <family val="2"/>
      </rPr>
      <t>LOCK</t>
    </r>
    <r>
      <rPr>
        <sz val="11"/>
        <color theme="1"/>
        <rFont val="Verdana"/>
        <family val="2"/>
      </rPr>
      <t xml:space="preserve">
(mm</t>
    </r>
    <r>
      <rPr>
        <vertAlign val="superscript"/>
        <sz val="11"/>
        <color theme="1"/>
        <rFont val="Verdana"/>
        <family val="2"/>
      </rPr>
      <t>2</t>
    </r>
    <r>
      <rPr>
        <sz val="11"/>
        <color theme="1"/>
        <rFont val="Verdana"/>
        <family val="2"/>
      </rPr>
      <t>)</t>
    </r>
  </si>
  <si>
    <t>B
(mm)</t>
  </si>
  <si>
    <r>
      <t>b</t>
    </r>
    <r>
      <rPr>
        <vertAlign val="subscript"/>
        <sz val="11"/>
        <color theme="1"/>
        <rFont val="Verdana"/>
        <family val="2"/>
      </rPr>
      <t>C</t>
    </r>
    <r>
      <rPr>
        <sz val="11"/>
        <color theme="1"/>
        <rFont val="Verdana"/>
        <family val="2"/>
      </rPr>
      <t xml:space="preserve">
(mm)</t>
    </r>
  </si>
  <si>
    <r>
      <t>f</t>
    </r>
    <r>
      <rPr>
        <vertAlign val="subscript"/>
        <sz val="11"/>
        <color theme="1"/>
        <rFont val="Verdana"/>
        <family val="2"/>
      </rPr>
      <t>r,k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</si>
  <si>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45,J,Rk</t>
    </r>
    <r>
      <rPr>
        <sz val="11"/>
        <color theme="1"/>
        <rFont val="Verdana"/>
        <family val="2"/>
      </rPr>
      <t xml:space="preserve">
(N)</t>
    </r>
  </si>
  <si>
    <r>
      <t>n</t>
    </r>
    <r>
      <rPr>
        <vertAlign val="subscript"/>
        <sz val="11"/>
        <color theme="1"/>
        <rFont val="Verdana"/>
        <family val="2"/>
      </rPr>
      <t>ef</t>
    </r>
  </si>
  <si>
    <r>
      <t>k</t>
    </r>
    <r>
      <rPr>
        <vertAlign val="subscript"/>
        <sz val="11"/>
        <color theme="1"/>
        <rFont val="Verdana"/>
        <family val="2"/>
      </rPr>
      <t>lat</t>
    </r>
  </si>
  <si>
    <r>
      <t>F</t>
    </r>
    <r>
      <rPr>
        <vertAlign val="subscript"/>
        <sz val="11"/>
        <color theme="1"/>
        <rFont val="Verdana"/>
        <family val="2"/>
      </rPr>
      <t xml:space="preserve">45,H,Rk </t>
    </r>
    <r>
      <rPr>
        <sz val="11"/>
        <color theme="1"/>
        <rFont val="Verdana"/>
        <family val="2"/>
      </rPr>
      <t>(a)
(N)</t>
    </r>
  </si>
  <si>
    <r>
      <t>F</t>
    </r>
    <r>
      <rPr>
        <vertAlign val="subscript"/>
        <sz val="11"/>
        <color theme="1"/>
        <rFont val="Verdana"/>
        <family val="2"/>
      </rPr>
      <t xml:space="preserve">45,H,Rk </t>
    </r>
    <r>
      <rPr>
        <sz val="11"/>
        <color theme="1"/>
        <rFont val="Verdana"/>
        <family val="2"/>
      </rPr>
      <t>(b)
(N)</t>
    </r>
  </si>
  <si>
    <r>
      <t>F</t>
    </r>
    <r>
      <rPr>
        <vertAlign val="subscript"/>
        <sz val="11"/>
        <color theme="1"/>
        <rFont val="Verdana"/>
        <family val="2"/>
      </rPr>
      <t xml:space="preserve">45,H,Rk </t>
    </r>
    <r>
      <rPr>
        <sz val="11"/>
        <color theme="1"/>
        <rFont val="Verdana"/>
        <family val="2"/>
      </rPr>
      <t>(c)
(N)</t>
    </r>
  </si>
  <si>
    <t>α</t>
  </si>
  <si>
    <t>Notch in header beam</t>
  </si>
  <si>
    <t>Notch in column</t>
  </si>
  <si>
    <t>Notch in joist</t>
  </si>
  <si>
    <t>RESISTENZA FINALE B.5</t>
  </si>
  <si>
    <t>RESISTENZA FINALE B.4</t>
  </si>
  <si>
    <r>
      <t>f</t>
    </r>
    <r>
      <rPr>
        <vertAlign val="subscript"/>
        <sz val="10"/>
        <color theme="1"/>
        <rFont val="Verdana"/>
        <family val="2"/>
      </rPr>
      <t>v,k</t>
    </r>
  </si>
  <si>
    <r>
      <t>f</t>
    </r>
    <r>
      <rPr>
        <vertAlign val="subscript"/>
        <sz val="11"/>
        <color theme="1"/>
        <rFont val="Verdana"/>
        <family val="2"/>
      </rPr>
      <t>v,k</t>
    </r>
    <r>
      <rPr>
        <sz val="11"/>
        <color theme="1"/>
        <rFont val="Verdana"/>
        <family val="2"/>
      </rPr>
      <t xml:space="preserve">
(N/mm</t>
    </r>
    <r>
      <rPr>
        <vertAlign val="superscript"/>
        <sz val="11"/>
        <color theme="1"/>
        <rFont val="Verdana"/>
        <family val="2"/>
      </rPr>
      <t>2</t>
    </r>
    <r>
      <rPr>
        <sz val="11"/>
        <color theme="1"/>
        <rFont val="Verdana"/>
        <family val="2"/>
      </rPr>
      <t>)</t>
    </r>
  </si>
  <si>
    <r>
      <t>k</t>
    </r>
    <r>
      <rPr>
        <vertAlign val="subscript"/>
        <sz val="11"/>
        <color theme="1"/>
        <rFont val="Verdana"/>
        <family val="2"/>
      </rPr>
      <t>v</t>
    </r>
  </si>
  <si>
    <r>
      <t>F</t>
    </r>
    <r>
      <rPr>
        <vertAlign val="subscript"/>
        <sz val="11"/>
        <color theme="1"/>
        <rFont val="Verdana"/>
        <family val="2"/>
      </rPr>
      <t>45,H,Rk</t>
    </r>
    <r>
      <rPr>
        <sz val="11"/>
        <color theme="1"/>
        <rFont val="Verdana"/>
        <family val="2"/>
      </rPr>
      <t xml:space="preserve">
(N)</t>
    </r>
  </si>
  <si>
    <r>
      <t>F</t>
    </r>
    <r>
      <rPr>
        <vertAlign val="subscript"/>
        <sz val="11"/>
        <color theme="1"/>
        <rFont val="Verdana"/>
        <family val="2"/>
      </rPr>
      <t xml:space="preserve">45,J,Rk </t>
    </r>
    <r>
      <rPr>
        <sz val="11"/>
        <color theme="1"/>
        <rFont val="Verdana"/>
        <family val="2"/>
      </rPr>
      <t>(a)
(N)</t>
    </r>
  </si>
  <si>
    <r>
      <t>F</t>
    </r>
    <r>
      <rPr>
        <vertAlign val="subscript"/>
        <sz val="11"/>
        <color theme="1"/>
        <rFont val="Verdana"/>
        <family val="2"/>
      </rPr>
      <t xml:space="preserve">45,J,Rk </t>
    </r>
    <r>
      <rPr>
        <sz val="11"/>
        <color theme="1"/>
        <rFont val="Verdana"/>
        <family val="2"/>
      </rPr>
      <t>(b)
(N)</t>
    </r>
  </si>
  <si>
    <r>
      <t>b</t>
    </r>
    <r>
      <rPr>
        <vertAlign val="subscript"/>
        <sz val="11"/>
        <color theme="1"/>
        <rFont val="Verdana"/>
        <family val="2"/>
      </rPr>
      <t>J</t>
    </r>
    <r>
      <rPr>
        <sz val="11"/>
        <color theme="1"/>
        <rFont val="Verdana"/>
        <family val="2"/>
      </rPr>
      <t xml:space="preserve">
(mm)</t>
    </r>
  </si>
  <si>
    <r>
      <t>k</t>
    </r>
    <r>
      <rPr>
        <vertAlign val="subscript"/>
        <sz val="11"/>
        <color theme="1"/>
        <rFont val="Verdana"/>
        <family val="2"/>
      </rPr>
      <t>n</t>
    </r>
  </si>
  <si>
    <t>i</t>
  </si>
  <si>
    <t>RESISTENZA FINALE B.6</t>
  </si>
  <si>
    <r>
      <t>F</t>
    </r>
    <r>
      <rPr>
        <vertAlign val="subscript"/>
        <sz val="11"/>
        <color theme="1"/>
        <rFont val="Verdana"/>
        <family val="2"/>
      </rPr>
      <t>v,in,Rk</t>
    </r>
    <r>
      <rPr>
        <sz val="11"/>
        <color theme="1"/>
        <rFont val="Verdana"/>
        <family val="2"/>
      </rPr>
      <t xml:space="preserve">
(N)</t>
    </r>
  </si>
  <si>
    <t>Numero connettori inclinati</t>
  </si>
  <si>
    <t>My,Rk
(Nmm)</t>
  </si>
  <si>
    <t>ftens,k
(N)</t>
  </si>
  <si>
    <t>ρk 
(kg/m3)</t>
  </si>
  <si>
    <t>fh,k
(N/mm2)</t>
  </si>
  <si>
    <t>kax</t>
  </si>
  <si>
    <t>kβ</t>
  </si>
  <si>
    <t>fax,k</t>
  </si>
  <si>
    <t>Fv,Rk (a)
(N)</t>
  </si>
  <si>
    <t>Fv,Rk (b)
(N)</t>
  </si>
  <si>
    <t>Fv,J,Rk
(N)</t>
  </si>
  <si>
    <t>F2,J,Rk
(N)</t>
  </si>
  <si>
    <t>Fax,H,Rk
(N)</t>
  </si>
  <si>
    <t>Fv,H,Rk
(N)</t>
  </si>
  <si>
    <t>F2,H,Rk
(N)</t>
  </si>
  <si>
    <t>F2,Rk
(KN)</t>
  </si>
  <si>
    <t>RESISTENZA LOCK STOP</t>
  </si>
  <si>
    <t>FLOCKSTOP,Rk
(N)</t>
  </si>
  <si>
    <t>fy,k
(N/mmq)</t>
  </si>
  <si>
    <t>LOCK STOP</t>
  </si>
  <si>
    <t>Inclined screw</t>
  </si>
  <si>
    <t>Intaglio trave principale</t>
  </si>
  <si>
    <t>Intaglio colonna</t>
  </si>
  <si>
    <t>Intaglio trave secondaria</t>
  </si>
  <si>
    <t>Viti inclinate</t>
  </si>
  <si>
    <t>Numero di moduli standard</t>
  </si>
  <si>
    <t xml:space="preserve">Numero di connettori </t>
  </si>
  <si>
    <t>B.4</t>
  </si>
  <si>
    <t>B.5</t>
  </si>
  <si>
    <t>B.6</t>
  </si>
  <si>
    <t>B.7</t>
  </si>
  <si>
    <t>B.8</t>
  </si>
  <si>
    <r>
      <t>F</t>
    </r>
    <r>
      <rPr>
        <vertAlign val="subscript"/>
        <sz val="11"/>
        <color theme="1"/>
        <rFont val="Verdana"/>
        <family val="2"/>
      </rPr>
      <t>45,Rk</t>
    </r>
    <r>
      <rPr>
        <sz val="11"/>
        <color theme="1"/>
        <rFont val="Verdana"/>
        <family val="2"/>
      </rPr>
      <t xml:space="preserve">
(kN)</t>
    </r>
  </si>
  <si>
    <r>
      <t>F</t>
    </r>
    <r>
      <rPr>
        <vertAlign val="subscript"/>
        <sz val="11"/>
        <color theme="1"/>
        <rFont val="Verdana"/>
        <family val="2"/>
      </rPr>
      <t>1,H,Rk</t>
    </r>
    <r>
      <rPr>
        <sz val="11"/>
        <color theme="1"/>
        <rFont val="Verdana"/>
        <family val="2"/>
      </rPr>
      <t xml:space="preserve">
primaria
(N)</t>
    </r>
  </si>
  <si>
    <r>
      <t>F</t>
    </r>
    <r>
      <rPr>
        <vertAlign val="subscript"/>
        <sz val="11"/>
        <color theme="1"/>
        <rFont val="Verdana"/>
        <family val="2"/>
      </rPr>
      <t>1,J,Rk</t>
    </r>
    <r>
      <rPr>
        <sz val="11"/>
        <color theme="1"/>
        <rFont val="Verdana"/>
        <family val="2"/>
      </rPr>
      <t xml:space="preserve">
secondaria
(N)</t>
    </r>
  </si>
  <si>
    <r>
      <t>F</t>
    </r>
    <r>
      <rPr>
        <vertAlign val="subscript"/>
        <sz val="11"/>
        <color theme="1"/>
        <rFont val="Verdana"/>
        <family val="2"/>
      </rPr>
      <t>1,Rk</t>
    </r>
    <r>
      <rPr>
        <sz val="11"/>
        <color theme="1"/>
        <rFont val="Verdana"/>
        <family val="2"/>
      </rPr>
      <t xml:space="preserve">
(kN)</t>
    </r>
  </si>
  <si>
    <r>
      <t>f</t>
    </r>
    <r>
      <rPr>
        <vertAlign val="subscript"/>
        <sz val="10"/>
        <color theme="1"/>
        <rFont val="Verdana"/>
        <family val="2"/>
      </rPr>
      <t>r,k</t>
    </r>
  </si>
  <si>
    <r>
      <t>F</t>
    </r>
    <r>
      <rPr>
        <vertAlign val="subscript"/>
        <sz val="11"/>
        <color theme="1"/>
        <rFont val="Verdana"/>
        <family val="2"/>
      </rPr>
      <t xml:space="preserve">v,Rk </t>
    </r>
    <r>
      <rPr>
        <sz val="11"/>
        <color theme="1"/>
        <rFont val="Verdana"/>
        <family val="2"/>
      </rPr>
      <t>(d)
(N)</t>
    </r>
  </si>
  <si>
    <t>spessore inclinato</t>
  </si>
  <si>
    <t>trave  90°</t>
  </si>
  <si>
    <t>trave  45°</t>
  </si>
  <si>
    <r>
      <t>F</t>
    </r>
    <r>
      <rPr>
        <vertAlign val="subscript"/>
        <sz val="11"/>
        <color theme="1"/>
        <rFont val="Verdana"/>
        <family val="2"/>
      </rPr>
      <t xml:space="preserve">v,Rk </t>
    </r>
    <r>
      <rPr>
        <sz val="11"/>
        <color theme="1"/>
        <rFont val="Verdana"/>
        <family val="2"/>
      </rPr>
      <t>(c)
(N)</t>
    </r>
  </si>
  <si>
    <r>
      <t>F</t>
    </r>
    <r>
      <rPr>
        <vertAlign val="subscript"/>
        <sz val="11"/>
        <color theme="1"/>
        <rFont val="Verdana"/>
        <family val="2"/>
      </rPr>
      <t xml:space="preserve">v,Rk </t>
    </r>
    <r>
      <rPr>
        <sz val="11"/>
        <color theme="1"/>
        <rFont val="Verdana"/>
        <family val="2"/>
      </rPr>
      <t>(e)
(N)</t>
    </r>
  </si>
  <si>
    <t>spessore per vite inclinata [mm]</t>
  </si>
  <si>
    <t>spessore lock</t>
  </si>
  <si>
    <t>Pilastro</t>
  </si>
  <si>
    <r>
      <t>F</t>
    </r>
    <r>
      <rPr>
        <vertAlign val="subscript"/>
        <sz val="11"/>
        <color theme="1"/>
        <rFont val="Verdana"/>
        <family val="2"/>
      </rPr>
      <t xml:space="preserve">ax,Rk </t>
    </r>
    <r>
      <rPr>
        <sz val="11"/>
        <color theme="1"/>
        <rFont val="Verdana"/>
        <family val="2"/>
      </rPr>
      <t>[90°]
(N)</t>
    </r>
  </si>
  <si>
    <r>
      <t>F</t>
    </r>
    <r>
      <rPr>
        <vertAlign val="subscript"/>
        <sz val="11"/>
        <color theme="1"/>
        <rFont val="Verdana"/>
        <family val="2"/>
      </rPr>
      <t xml:space="preserve">ax,Rk </t>
    </r>
    <r>
      <rPr>
        <sz val="11"/>
        <color theme="1"/>
        <rFont val="Verdana"/>
        <family val="2"/>
      </rPr>
      <t>[0°]
(N)</t>
    </r>
  </si>
  <si>
    <t>MIN FTENS???</t>
  </si>
  <si>
    <r>
      <t>F2</t>
    </r>
    <r>
      <rPr>
        <vertAlign val="subscript"/>
        <sz val="11"/>
        <color theme="1"/>
        <rFont val="Verdana"/>
        <family val="2"/>
      </rPr>
      <t>,J,Rk</t>
    </r>
    <r>
      <rPr>
        <sz val="11"/>
        <color theme="1"/>
        <rFont val="Verdana"/>
        <family val="2"/>
      </rPr>
      <t xml:space="preserve">
(N)</t>
    </r>
  </si>
  <si>
    <t>Orientamento elemento primario</t>
  </si>
  <si>
    <t>Tipologia di connettore LOCK STOP</t>
  </si>
  <si>
    <t>SW &amp; HW</t>
  </si>
  <si>
    <t>pre-drilled</t>
  </si>
  <si>
    <t>non pre-drilled</t>
  </si>
  <si>
    <t>embedding strength ETA</t>
  </si>
  <si>
    <t>per clt come parete ho considerato come fosse SW</t>
  </si>
  <si>
    <t>altezza lock [mm]</t>
  </si>
  <si>
    <t>Coefficiente di sicurezza alluminio</t>
  </si>
  <si>
    <t>dimensioni minime</t>
  </si>
  <si>
    <t>dimensioni minime senza preforo</t>
  </si>
  <si>
    <t>Data</t>
  </si>
  <si>
    <t>Progetto</t>
  </si>
  <si>
    <t>[kN]</t>
  </si>
  <si>
    <t xml:space="preserve">1. Informazioni generali </t>
  </si>
  <si>
    <t>Progettista</t>
  </si>
  <si>
    <t>[mm]</t>
  </si>
  <si>
    <t>[-]</t>
  </si>
  <si>
    <t>[°]</t>
  </si>
  <si>
    <t>Azione assiale</t>
  </si>
  <si>
    <t>Azione laterale</t>
  </si>
  <si>
    <r>
      <t>F</t>
    </r>
    <r>
      <rPr>
        <b/>
        <vertAlign val="subscript"/>
        <sz val="11"/>
        <color theme="1"/>
        <rFont val="Verdana"/>
        <family val="2"/>
      </rPr>
      <t>V,Rk</t>
    </r>
  </si>
  <si>
    <r>
      <t>F</t>
    </r>
    <r>
      <rPr>
        <b/>
        <vertAlign val="subscript"/>
        <sz val="11"/>
        <color theme="1"/>
        <rFont val="Verdana"/>
        <family val="2"/>
      </rPr>
      <t>V,Rd</t>
    </r>
  </si>
  <si>
    <r>
      <t>F</t>
    </r>
    <r>
      <rPr>
        <b/>
        <vertAlign val="subscript"/>
        <sz val="11"/>
        <color theme="1"/>
        <rFont val="Verdana"/>
        <family val="2"/>
      </rPr>
      <t>UP,Rk</t>
    </r>
  </si>
  <si>
    <r>
      <t>F</t>
    </r>
    <r>
      <rPr>
        <b/>
        <vertAlign val="subscript"/>
        <sz val="11"/>
        <color theme="1"/>
        <rFont val="Verdana"/>
        <family val="2"/>
      </rPr>
      <t>UP,Rd</t>
    </r>
  </si>
  <si>
    <r>
      <t>F</t>
    </r>
    <r>
      <rPr>
        <b/>
        <vertAlign val="subscript"/>
        <sz val="11"/>
        <color theme="1"/>
        <rFont val="Verdana"/>
        <family val="2"/>
      </rPr>
      <t>1,Rk</t>
    </r>
  </si>
  <si>
    <r>
      <t>F</t>
    </r>
    <r>
      <rPr>
        <b/>
        <vertAlign val="subscript"/>
        <sz val="11"/>
        <color theme="1"/>
        <rFont val="Verdana"/>
        <family val="2"/>
      </rPr>
      <t>1,Rd</t>
    </r>
  </si>
  <si>
    <r>
      <t>F</t>
    </r>
    <r>
      <rPr>
        <b/>
        <vertAlign val="subscript"/>
        <sz val="11"/>
        <color theme="1"/>
        <rFont val="Verdana"/>
        <family val="2"/>
      </rPr>
      <t>45,Rk</t>
    </r>
  </si>
  <si>
    <r>
      <t>F</t>
    </r>
    <r>
      <rPr>
        <b/>
        <vertAlign val="subscript"/>
        <sz val="11"/>
        <color theme="1"/>
        <rFont val="Verdana"/>
        <family val="2"/>
      </rPr>
      <t>45,Rd</t>
    </r>
  </si>
  <si>
    <r>
      <t>k</t>
    </r>
    <r>
      <rPr>
        <b/>
        <vertAlign val="subscript"/>
        <sz val="11"/>
        <color theme="1"/>
        <rFont val="Verdana"/>
        <family val="2"/>
      </rPr>
      <t>mod</t>
    </r>
  </si>
  <si>
    <r>
      <t>γ</t>
    </r>
    <r>
      <rPr>
        <b/>
        <vertAlign val="subscript"/>
        <sz val="11"/>
        <color theme="1"/>
        <rFont val="Verdana"/>
        <family val="2"/>
      </rPr>
      <t>M</t>
    </r>
  </si>
  <si>
    <t>Viti fissaggio trave secondaria</t>
  </si>
  <si>
    <t>Resistenza di design</t>
  </si>
  <si>
    <t>Resistenza caratteristica</t>
  </si>
  <si>
    <t>Angolo nel piano verticale</t>
  </si>
  <si>
    <t>Versione con rivestimento C4 EVO</t>
  </si>
  <si>
    <t>LOCKT</t>
  </si>
  <si>
    <t>LOCKTFLOOR</t>
  </si>
  <si>
    <t>Diametro nominale</t>
  </si>
  <si>
    <t>Diametro nocciolo</t>
  </si>
  <si>
    <t>Diametro testa</t>
  </si>
  <si>
    <t>Lunghezza filetto</t>
  </si>
  <si>
    <t>Parametro caratteristico estrazione</t>
  </si>
  <si>
    <t>Densità associata</t>
  </si>
  <si>
    <t>Resistenza caratteristica a trazione</t>
  </si>
  <si>
    <t>L</t>
  </si>
  <si>
    <r>
      <t>d</t>
    </r>
    <r>
      <rPr>
        <b/>
        <vertAlign val="subscript"/>
        <sz val="9"/>
        <rFont val="Verdana"/>
        <family val="2"/>
      </rPr>
      <t>1</t>
    </r>
  </si>
  <si>
    <r>
      <t>d</t>
    </r>
    <r>
      <rPr>
        <b/>
        <vertAlign val="subscript"/>
        <sz val="9"/>
        <rFont val="Verdana"/>
        <family val="2"/>
      </rPr>
      <t>2</t>
    </r>
  </si>
  <si>
    <r>
      <t>d</t>
    </r>
    <r>
      <rPr>
        <b/>
        <vertAlign val="subscript"/>
        <sz val="9"/>
        <rFont val="Verdana"/>
        <family val="2"/>
      </rPr>
      <t>k</t>
    </r>
  </si>
  <si>
    <r>
      <t>s</t>
    </r>
    <r>
      <rPr>
        <b/>
        <vertAlign val="subscript"/>
        <sz val="9"/>
        <rFont val="Verdana"/>
        <family val="2"/>
      </rPr>
      <t>g</t>
    </r>
  </si>
  <si>
    <r>
      <t>f</t>
    </r>
    <r>
      <rPr>
        <b/>
        <vertAlign val="subscript"/>
        <sz val="9"/>
        <rFont val="Verdana"/>
        <family val="2"/>
      </rPr>
      <t>ax,k</t>
    </r>
  </si>
  <si>
    <r>
      <t>ρ</t>
    </r>
    <r>
      <rPr>
        <b/>
        <vertAlign val="subscript"/>
        <sz val="9"/>
        <rFont val="Verdana"/>
        <family val="2"/>
      </rPr>
      <t>a,ax</t>
    </r>
  </si>
  <si>
    <r>
      <t>f</t>
    </r>
    <r>
      <rPr>
        <b/>
        <vertAlign val="subscript"/>
        <sz val="9"/>
        <rFont val="Verdana"/>
        <family val="2"/>
      </rPr>
      <t>tens,k</t>
    </r>
  </si>
  <si>
    <t>Codice viti</t>
  </si>
  <si>
    <r>
      <t>[N/mm</t>
    </r>
    <r>
      <rPr>
        <b/>
        <vertAlign val="superscript"/>
        <sz val="10"/>
        <rFont val="Verdana"/>
        <family val="2"/>
      </rPr>
      <t>2</t>
    </r>
    <r>
      <rPr>
        <b/>
        <sz val="11"/>
        <color theme="1"/>
        <rFont val="Verdana"/>
        <family val="2"/>
      </rPr>
      <t>]</t>
    </r>
  </si>
  <si>
    <r>
      <t>[Kg/m</t>
    </r>
    <r>
      <rPr>
        <b/>
        <vertAlign val="superscript"/>
        <sz val="10"/>
        <rFont val="Verdana"/>
        <family val="2"/>
      </rPr>
      <t>3</t>
    </r>
    <r>
      <rPr>
        <b/>
        <sz val="11"/>
        <color theme="1"/>
        <rFont val="Verdana"/>
        <family val="2"/>
      </rPr>
      <t>]</t>
    </r>
  </si>
  <si>
    <t>Codice del connettore utilizzato</t>
  </si>
  <si>
    <t>Base</t>
  </si>
  <si>
    <t>Spessore</t>
  </si>
  <si>
    <t>Fori</t>
  </si>
  <si>
    <t>[/-mm]</t>
  </si>
  <si>
    <r>
      <t>n</t>
    </r>
    <r>
      <rPr>
        <b/>
        <vertAlign val="subscript"/>
        <sz val="11"/>
        <color theme="1"/>
        <rFont val="Verdana"/>
        <family val="2"/>
      </rPr>
      <t>viti</t>
    </r>
    <r>
      <rPr>
        <b/>
        <sz val="11"/>
        <color theme="1"/>
        <rFont val="Verdana"/>
        <family val="2"/>
      </rPr>
      <t xml:space="preserve"> - Ø</t>
    </r>
  </si>
  <si>
    <r>
      <t>b</t>
    </r>
    <r>
      <rPr>
        <b/>
        <vertAlign val="subscript"/>
        <sz val="11"/>
        <color theme="1"/>
        <rFont val="Verdana"/>
        <family val="2"/>
      </rPr>
      <t>j</t>
    </r>
  </si>
  <si>
    <r>
      <t>h</t>
    </r>
    <r>
      <rPr>
        <b/>
        <vertAlign val="subscript"/>
        <sz val="11"/>
        <color theme="1"/>
        <rFont val="Verdana"/>
        <family val="2"/>
      </rPr>
      <t>j</t>
    </r>
  </si>
  <si>
    <r>
      <t>B</t>
    </r>
    <r>
      <rPr>
        <b/>
        <vertAlign val="subscript"/>
        <sz val="11"/>
        <color theme="1"/>
        <rFont val="Verdana"/>
        <family val="2"/>
      </rPr>
      <t>LOCK</t>
    </r>
  </si>
  <si>
    <r>
      <t>H</t>
    </r>
    <r>
      <rPr>
        <b/>
        <vertAlign val="subscript"/>
        <sz val="11"/>
        <color theme="1"/>
        <rFont val="Verdana"/>
        <family val="2"/>
      </rPr>
      <t>LOCK</t>
    </r>
  </si>
  <si>
    <t>classe di durata del carico</t>
  </si>
  <si>
    <t>Istantaneo</t>
  </si>
  <si>
    <t>Peso proprio e carichi non rimovibili durante il normale esercizio della struttura.</t>
  </si>
  <si>
    <t>Carichi permanenti suscettibili di cambiamenti durante il normale esercizio della struttura e carichi variabili relativi a magazzini e depositi.</t>
  </si>
  <si>
    <t>Carichi variabili degli edifici, ad eccezione di quelli relativi a magazzini e depositi.</t>
  </si>
  <si>
    <t>Azione del vento medio.</t>
  </si>
  <si>
    <t>Azione di picco del vento e azioni eccezionali.</t>
  </si>
  <si>
    <t>Caratterizzata da un'umidità del materiale in equilibrio con l'ambiente a una temperatura di 20°C e un'umidità relativa dell'aria circostante che non superi il 65%, se non per poche settimane all'anno.</t>
  </si>
  <si>
    <t>Caratterizzata da un'umidità del materiale in equilibrio con l'ambiente a una temperatura di 20°C e un'umidità relativa dell'aria circostante che superi l'85% solo per poche settimane all'anno.</t>
  </si>
  <si>
    <t>Caratterizzata da umidità più elevata di quella della classe di servizio 2.</t>
  </si>
  <si>
    <t>VITI</t>
  </si>
  <si>
    <t>Momento caratteristico di snervamento</t>
  </si>
  <si>
    <r>
      <t>M</t>
    </r>
    <r>
      <rPr>
        <b/>
        <vertAlign val="subscript"/>
        <sz val="9"/>
        <rFont val="Verdana"/>
        <family val="2"/>
      </rPr>
      <t>y,k</t>
    </r>
  </si>
  <si>
    <t>[Nm]</t>
  </si>
  <si>
    <t>EVO</t>
  </si>
  <si>
    <t>EV</t>
  </si>
  <si>
    <t>richiesta speciale</t>
  </si>
  <si>
    <t>codice evo</t>
  </si>
  <si>
    <t>numero di connettori inclinati</t>
  </si>
  <si>
    <r>
      <t>n</t>
    </r>
    <r>
      <rPr>
        <vertAlign val="subscript"/>
        <sz val="10"/>
        <color theme="1"/>
        <rFont val="Verdana"/>
        <family val="2"/>
      </rPr>
      <t>in</t>
    </r>
    <r>
      <rPr>
        <sz val="10"/>
        <color theme="1"/>
        <rFont val="Verdana"/>
        <family val="2"/>
      </rPr>
      <t xml:space="preserve"> = max(0,9*n; n^0,9)</t>
    </r>
  </si>
  <si>
    <t>Tecnico commerciale RothoBlaas</t>
  </si>
  <si>
    <t>Norma di calcolo</t>
  </si>
  <si>
    <t>Giunzione n°</t>
  </si>
  <si>
    <t>Note</t>
  </si>
  <si>
    <t>Produzione soggetta a controllo continuativo (COV &lt;15%)</t>
  </si>
  <si>
    <t>Verifica della connessione</t>
  </si>
  <si>
    <t>NTC 2018</t>
  </si>
  <si>
    <t>EC 1995-1-1</t>
  </si>
  <si>
    <t>altezza lock 2 [mm]</t>
  </si>
  <si>
    <t>Accoppiamento connettori: numero di connettori</t>
  </si>
  <si>
    <t>(*)</t>
  </si>
  <si>
    <t>LOCKSTOP5</t>
  </si>
  <si>
    <t>LOCKSTOP7</t>
  </si>
  <si>
    <t>LOCKSTOP18</t>
  </si>
  <si>
    <t>LOCKSTOP35</t>
  </si>
  <si>
    <t>LOCKSTOP50</t>
  </si>
  <si>
    <t>LOCKSTOP75</t>
  </si>
  <si>
    <t>LOCKSTOP100</t>
  </si>
  <si>
    <t>LOCKSTOP125</t>
  </si>
  <si>
    <t>LOCKSTOP5U</t>
  </si>
  <si>
    <t>ACCOPPIATI</t>
  </si>
  <si>
    <t>MINI</t>
  </si>
  <si>
    <t>MIDI</t>
  </si>
  <si>
    <t>LOCK-T 100 240</t>
  </si>
  <si>
    <t>Configurazione per resistenza laterale</t>
  </si>
  <si>
    <t>LOCK-T 18 80</t>
  </si>
  <si>
    <t>(**)</t>
  </si>
  <si>
    <t>LOCK-T 35 80</t>
  </si>
  <si>
    <t>LOCK-T 35 100</t>
  </si>
  <si>
    <t>LOCK-T 35 120</t>
  </si>
  <si>
    <t>LOCK-T 53 120</t>
  </si>
  <si>
    <t>LOCK-T 50 135</t>
  </si>
  <si>
    <t>LOCK-T 50 175</t>
  </si>
  <si>
    <t>LOCK-T 75 175</t>
  </si>
  <si>
    <t>LOCK-T 75 215</t>
  </si>
  <si>
    <t>LOCK-T 100 215</t>
  </si>
  <si>
    <t>LOCK-T 75 240</t>
  </si>
  <si>
    <t>LOCK-T 125 240</t>
  </si>
  <si>
    <t>LOCK-T 75 265</t>
  </si>
  <si>
    <t>LOCK-T 100 265</t>
  </si>
  <si>
    <t>LOCK-T 125 265</t>
  </si>
  <si>
    <t>LOCK-T 75 290</t>
  </si>
  <si>
    <t>LOCK-T 100 290</t>
  </si>
  <si>
    <t>LOCK-T 125 290</t>
  </si>
  <si>
    <t>connettori</t>
  </si>
  <si>
    <t>uplift</t>
  </si>
  <si>
    <t>lateral</t>
  </si>
  <si>
    <t>secondo lock</t>
  </si>
  <si>
    <t>doppio lock</t>
  </si>
  <si>
    <t>primo lock</t>
  </si>
  <si>
    <t>5 or 7</t>
  </si>
  <si>
    <t>10d</t>
  </si>
  <si>
    <t>7d</t>
  </si>
  <si>
    <t>4d</t>
  </si>
  <si>
    <t>&gt;=14d</t>
  </si>
  <si>
    <t>non predrilled</t>
  </si>
  <si>
    <t>predrilled</t>
  </si>
  <si>
    <r>
      <t>Σn</t>
    </r>
    <r>
      <rPr>
        <vertAlign val="subscript"/>
        <sz val="11"/>
        <color theme="1"/>
        <rFont val="Verdana"/>
        <family val="2"/>
      </rPr>
      <t>ef</t>
    </r>
  </si>
  <si>
    <r>
      <t>Σk</t>
    </r>
    <r>
      <rPr>
        <vertAlign val="subscript"/>
        <sz val="11"/>
        <color theme="1"/>
        <rFont val="Verdana"/>
        <family val="2"/>
      </rPr>
      <t>lat</t>
    </r>
  </si>
  <si>
    <t>ΣB
(mm)</t>
  </si>
  <si>
    <t>Numero connettori inclinati 1</t>
  </si>
  <si>
    <t>Numero connettori inclinati 2</t>
  </si>
  <si>
    <t>Numero connettori^kef</t>
  </si>
  <si>
    <t>Codice viti trave secondaria</t>
  </si>
  <si>
    <t>Viti inclinate per resistenza a sollevamento e/o laterale</t>
  </si>
  <si>
    <t>Area di contatto tra connettore LOCK T e testata o colonna</t>
  </si>
  <si>
    <r>
      <t>A</t>
    </r>
    <r>
      <rPr>
        <b/>
        <vertAlign val="subscript"/>
        <sz val="11"/>
        <color theme="1"/>
        <rFont val="Verdana"/>
        <family val="2"/>
      </rPr>
      <t>LOCK</t>
    </r>
  </si>
  <si>
    <r>
      <t>[mm</t>
    </r>
    <r>
      <rPr>
        <b/>
        <vertAlign val="superscript"/>
        <sz val="10"/>
        <rFont val="Verdana"/>
        <family val="2"/>
      </rPr>
      <t>2</t>
    </r>
    <r>
      <rPr>
        <b/>
        <sz val="11"/>
        <color theme="1"/>
        <rFont val="Verdana"/>
        <family val="2"/>
      </rPr>
      <t>]</t>
    </r>
  </si>
  <si>
    <t>Lunghezza del connettore LOCK T</t>
  </si>
  <si>
    <r>
      <t>l</t>
    </r>
    <r>
      <rPr>
        <b/>
        <vertAlign val="subscript"/>
        <sz val="11"/>
        <color theme="1"/>
        <rFont val="Verdana"/>
        <family val="2"/>
      </rPr>
      <t>LOCK</t>
    </r>
  </si>
  <si>
    <t>Fattore di forma</t>
  </si>
  <si>
    <r>
      <t>k</t>
    </r>
    <r>
      <rPr>
        <b/>
        <vertAlign val="subscript"/>
        <sz val="11"/>
        <color theme="1"/>
        <rFont val="Verdana"/>
        <family val="2"/>
      </rPr>
      <t>LOCK</t>
    </r>
  </si>
  <si>
    <t>Numero di viti inclinate</t>
  </si>
  <si>
    <r>
      <t>n</t>
    </r>
    <r>
      <rPr>
        <b/>
        <vertAlign val="subscript"/>
        <sz val="9"/>
        <rFont val="Verdana"/>
        <family val="2"/>
      </rPr>
      <t>in</t>
    </r>
  </si>
  <si>
    <r>
      <t>n</t>
    </r>
    <r>
      <rPr>
        <b/>
        <vertAlign val="subscript"/>
        <sz val="11"/>
        <color theme="1"/>
        <rFont val="Verdana"/>
        <family val="2"/>
      </rPr>
      <t>M</t>
    </r>
  </si>
  <si>
    <t>Numero di moduli base ETA-19/0831</t>
  </si>
  <si>
    <t>nef</t>
  </si>
  <si>
    <t>klat</t>
  </si>
  <si>
    <t>Numero effettivo di viti per elemento secondario o primario</t>
  </si>
  <si>
    <t>Coefficiente in accordo con EN 1995-1-1, eq. 6.62</t>
  </si>
  <si>
    <t>Coefficiente in accordo con EN 1995-1-1, 6.1.5</t>
  </si>
  <si>
    <r>
      <t>F</t>
    </r>
    <r>
      <rPr>
        <vertAlign val="subscript"/>
        <sz val="11"/>
        <color theme="1"/>
        <rFont val="Verdana"/>
        <family val="2"/>
      </rPr>
      <t>v,H,rk</t>
    </r>
  </si>
  <si>
    <r>
      <t>F</t>
    </r>
    <r>
      <rPr>
        <vertAlign val="subscript"/>
        <sz val="11"/>
        <color theme="1"/>
        <rFont val="Verdana"/>
        <family val="2"/>
      </rPr>
      <t>ax,H,rk</t>
    </r>
  </si>
  <si>
    <r>
      <t>f</t>
    </r>
    <r>
      <rPr>
        <vertAlign val="subscript"/>
        <sz val="11"/>
        <color theme="1"/>
        <rFont val="Verdana"/>
        <family val="2"/>
      </rPr>
      <t>h,H,rk</t>
    </r>
  </si>
  <si>
    <r>
      <t>[N/mm</t>
    </r>
    <r>
      <rPr>
        <vertAlign val="superscript"/>
        <sz val="10"/>
        <rFont val="Verdana"/>
        <family val="2"/>
      </rPr>
      <t>2</t>
    </r>
    <r>
      <rPr>
        <sz val="11"/>
        <color theme="1"/>
        <rFont val="Verdana"/>
        <family val="2"/>
      </rPr>
      <t>]</t>
    </r>
  </si>
  <si>
    <t>[N]</t>
  </si>
  <si>
    <r>
      <t>f</t>
    </r>
    <r>
      <rPr>
        <vertAlign val="subscript"/>
        <sz val="11"/>
        <color theme="1"/>
        <rFont val="Verdana"/>
        <family val="2"/>
      </rPr>
      <t>h,J,rk</t>
    </r>
  </si>
  <si>
    <r>
      <t>F</t>
    </r>
    <r>
      <rPr>
        <vertAlign val="subscript"/>
        <sz val="11"/>
        <color theme="1"/>
        <rFont val="Verdana"/>
        <family val="2"/>
      </rPr>
      <t>ax,J,rk</t>
    </r>
  </si>
  <si>
    <r>
      <t>F</t>
    </r>
    <r>
      <rPr>
        <vertAlign val="subscript"/>
        <sz val="11"/>
        <color theme="1"/>
        <rFont val="Verdana"/>
        <family val="2"/>
      </rPr>
      <t>v,J,rk</t>
    </r>
  </si>
  <si>
    <r>
      <t>f</t>
    </r>
    <r>
      <rPr>
        <vertAlign val="subscript"/>
        <sz val="11"/>
        <color theme="1"/>
        <rFont val="Verdana"/>
        <family val="2"/>
      </rPr>
      <t>h,in,rk</t>
    </r>
  </si>
  <si>
    <r>
      <t>F</t>
    </r>
    <r>
      <rPr>
        <vertAlign val="subscript"/>
        <sz val="11"/>
        <color theme="1"/>
        <rFont val="Verdana"/>
        <family val="2"/>
      </rPr>
      <t>ax,in,rk</t>
    </r>
  </si>
  <si>
    <t>Azione di taglio per sollevamento</t>
  </si>
  <si>
    <t>Azione di taglio verticale</t>
  </si>
  <si>
    <t>6. Verifiche di progetto per la singola direzione</t>
  </si>
  <si>
    <t>Capacità assiale caratteristica di una vite inclinata</t>
  </si>
  <si>
    <t>Resistenza caratteristica a rifollamento</t>
  </si>
  <si>
    <t>Capacità assiale caratteristica di una vite su elemento secondario</t>
  </si>
  <si>
    <t>Capacità assiale caratteristica di una vite su elemento primario</t>
  </si>
  <si>
    <t>Capacità di carico caratteristica per piano di taglio per fissaggio elemento secondario</t>
  </si>
  <si>
    <t>Resistenza caratteristica a rifollamento elemento secondario</t>
  </si>
  <si>
    <t>Resistenza caratteristica alluminio</t>
  </si>
  <si>
    <t>Resistenza caratteristica a rifollamento elemento primario</t>
  </si>
  <si>
    <t>Capacità di carico caratteristica per piano di taglio per fissaggio elemento primario</t>
  </si>
  <si>
    <t xml:space="preserve"> </t>
  </si>
  <si>
    <t>Resistenza caratteristica elemento principale</t>
  </si>
  <si>
    <t>Resistenza caratteristica elemento secondario</t>
  </si>
  <si>
    <r>
      <t>F</t>
    </r>
    <r>
      <rPr>
        <vertAlign val="subscript"/>
        <sz val="11"/>
        <color theme="1"/>
        <rFont val="Verdana"/>
        <family val="2"/>
      </rPr>
      <t>2,H,Rk</t>
    </r>
  </si>
  <si>
    <r>
      <t>F</t>
    </r>
    <r>
      <rPr>
        <vertAlign val="subscript"/>
        <sz val="11"/>
        <color theme="1"/>
        <rFont val="Verdana"/>
        <family val="2"/>
      </rPr>
      <t>2,alu,Rk</t>
    </r>
  </si>
  <si>
    <r>
      <t>F</t>
    </r>
    <r>
      <rPr>
        <vertAlign val="subscript"/>
        <sz val="11"/>
        <color theme="1"/>
        <rFont val="Verdana"/>
        <family val="2"/>
      </rPr>
      <t>2,J,Rk</t>
    </r>
  </si>
  <si>
    <r>
      <t>F</t>
    </r>
    <r>
      <rPr>
        <vertAlign val="subscript"/>
        <sz val="11"/>
        <color theme="1"/>
        <rFont val="Verdana"/>
        <family val="2"/>
      </rPr>
      <t>3,H,Rk</t>
    </r>
  </si>
  <si>
    <r>
      <t>F</t>
    </r>
    <r>
      <rPr>
        <vertAlign val="subscript"/>
        <sz val="11"/>
        <color theme="1"/>
        <rFont val="Verdana"/>
        <family val="2"/>
      </rPr>
      <t>3,J,Rk</t>
    </r>
  </si>
  <si>
    <r>
      <t>F</t>
    </r>
    <r>
      <rPr>
        <vertAlign val="subscript"/>
        <sz val="11"/>
        <color theme="1"/>
        <rFont val="Verdana"/>
        <family val="2"/>
      </rPr>
      <t>1,H,Rk</t>
    </r>
  </si>
  <si>
    <r>
      <t>F</t>
    </r>
    <r>
      <rPr>
        <vertAlign val="subscript"/>
        <sz val="11"/>
        <color theme="1"/>
        <rFont val="Verdana"/>
        <family val="2"/>
      </rPr>
      <t>1,alu,Rk</t>
    </r>
  </si>
  <si>
    <r>
      <t>F</t>
    </r>
    <r>
      <rPr>
        <vertAlign val="subscript"/>
        <sz val="11"/>
        <color theme="1"/>
        <rFont val="Verdana"/>
        <family val="2"/>
      </rPr>
      <t>1,J,Rk</t>
    </r>
  </si>
  <si>
    <t>7. Verifiche di progetto nel caso di sollecitazione combinata</t>
  </si>
  <si>
    <t>Richiesta verifica sollecitazione combinata?</t>
  </si>
  <si>
    <t>Taglio verticale</t>
  </si>
  <si>
    <t>Taglio verticale di sollevamento</t>
  </si>
  <si>
    <t>Taglio laterale</t>
  </si>
  <si>
    <r>
      <t>F</t>
    </r>
    <r>
      <rPr>
        <vertAlign val="subscript"/>
        <sz val="11"/>
        <color theme="1"/>
        <rFont val="Verdana"/>
        <family val="2"/>
      </rPr>
      <t>v,d</t>
    </r>
  </si>
  <si>
    <r>
      <t>F</t>
    </r>
    <r>
      <rPr>
        <vertAlign val="subscript"/>
        <sz val="11"/>
        <color theme="1"/>
        <rFont val="Verdana"/>
        <family val="2"/>
      </rPr>
      <t>up,d</t>
    </r>
  </si>
  <si>
    <r>
      <t>F</t>
    </r>
    <r>
      <rPr>
        <vertAlign val="subscript"/>
        <sz val="11"/>
        <color theme="1"/>
        <rFont val="Verdana"/>
        <family val="2"/>
      </rPr>
      <t>ax,d</t>
    </r>
  </si>
  <si>
    <r>
      <t>F</t>
    </r>
    <r>
      <rPr>
        <vertAlign val="subscript"/>
        <sz val="11"/>
        <color theme="1"/>
        <rFont val="Verdana"/>
        <family val="2"/>
      </rPr>
      <t>lat,d</t>
    </r>
  </si>
  <si>
    <t>CD</t>
  </si>
  <si>
    <t>BD</t>
  </si>
  <si>
    <t>BCD</t>
  </si>
  <si>
    <t>BC</t>
  </si>
  <si>
    <t>AD</t>
  </si>
  <si>
    <t>AC</t>
  </si>
  <si>
    <t>ACD</t>
  </si>
  <si>
    <t>NON</t>
  </si>
  <si>
    <t>A</t>
  </si>
  <si>
    <t>C</t>
  </si>
  <si>
    <t>D</t>
  </si>
  <si>
    <t>Massa volumica caratteristica</t>
  </si>
  <si>
    <t>Resistenza caratteristica a compressione parallela alla fibratura</t>
  </si>
  <si>
    <t>Resistenza caratteristica a compressione perpendicolare alla fibratura</t>
  </si>
  <si>
    <t>Resistenza caratteristica a taglio per rotolamento delle fibre</t>
  </si>
  <si>
    <t>Resistenza caratteristica a taglio</t>
  </si>
  <si>
    <r>
      <t>f</t>
    </r>
    <r>
      <rPr>
        <b/>
        <vertAlign val="subscript"/>
        <sz val="10"/>
        <color theme="1"/>
        <rFont val="Verdana"/>
        <family val="2"/>
      </rPr>
      <t>c,0,k</t>
    </r>
  </si>
  <si>
    <r>
      <t>f</t>
    </r>
    <r>
      <rPr>
        <b/>
        <vertAlign val="subscript"/>
        <sz val="10"/>
        <color theme="1"/>
        <rFont val="Verdana"/>
        <family val="2"/>
      </rPr>
      <t>c,90,k</t>
    </r>
  </si>
  <si>
    <r>
      <t>f</t>
    </r>
    <r>
      <rPr>
        <b/>
        <vertAlign val="subscript"/>
        <sz val="10"/>
        <color theme="1"/>
        <rFont val="Verdana"/>
        <family val="2"/>
      </rPr>
      <t>r,k</t>
    </r>
  </si>
  <si>
    <r>
      <t>f</t>
    </r>
    <r>
      <rPr>
        <b/>
        <vertAlign val="subscript"/>
        <sz val="10"/>
        <color theme="1"/>
        <rFont val="Verdana"/>
        <family val="2"/>
      </rPr>
      <t>v,k</t>
    </r>
  </si>
  <si>
    <r>
      <t>ρ</t>
    </r>
    <r>
      <rPr>
        <b/>
        <vertAlign val="subscript"/>
        <sz val="9"/>
        <rFont val="Verdana"/>
        <family val="2"/>
      </rPr>
      <t>k</t>
    </r>
  </si>
  <si>
    <t>per clt come parete considerato come fosse SW</t>
  </si>
  <si>
    <t>ETA12/0362</t>
  </si>
  <si>
    <t>"--&gt;"</t>
  </si>
  <si>
    <t>StoraEnso</t>
  </si>
  <si>
    <t>Fv,d e Fup,d sono forze agenti in direzioni opposte. Pertanto solo una delle forze Fv,d e Fup,d può agire in combinazione con le forze Fax,d o Flat,d.</t>
  </si>
  <si>
    <t>Per angoli elevati verificare che geometricamente le viti non fuoriescano dalle sezioni.</t>
  </si>
  <si>
    <t>6.1 Taglio verticale (Fv)</t>
  </si>
  <si>
    <t>6.3 Assiale (Fax)</t>
  </si>
  <si>
    <t>6.4 Taglio laterale (Flat)</t>
  </si>
  <si>
    <t>PERCENTUALE DI UTILIZZO DELLA CONNESSIONE</t>
  </si>
  <si>
    <t>7. Sollecitazione combinata</t>
  </si>
  <si>
    <t>…</t>
  </si>
  <si>
    <t>!! elemento troppo piccolo per il connettore selezionato !!</t>
  </si>
  <si>
    <t>CALCOLO CONNETTORE A SCOMPARSA AD AGGANCIO LEGNO-LEGNO LOCK-T</t>
  </si>
  <si>
    <t>P</t>
  </si>
  <si>
    <t>I connettori accoppiati devono avere pari altezza!</t>
  </si>
  <si>
    <t>Coefficiente di sicurezza connessione</t>
  </si>
  <si>
    <t>USER 1</t>
  </si>
  <si>
    <t>USER 2</t>
  </si>
  <si>
    <t>USER 3</t>
  </si>
  <si>
    <t>USER 4</t>
  </si>
  <si>
    <t>USER 5</t>
  </si>
  <si>
    <t>6.2 Taglio sollevamento (Fup)</t>
  </si>
  <si>
    <t>EN 14080:2013</t>
  </si>
  <si>
    <t>EN 338:2016</t>
  </si>
  <si>
    <t>Codice viti elemento primario</t>
  </si>
  <si>
    <t>Accoppiamento connettori:</t>
  </si>
  <si>
    <t>Trave o pilastro:</t>
  </si>
  <si>
    <t>Viti fissaggio elemento primario</t>
  </si>
  <si>
    <t>Numero di connessioni</t>
  </si>
  <si>
    <t>Codice</t>
  </si>
  <si>
    <t>n°</t>
  </si>
  <si>
    <t>Connettore a scomparsa ad aggancio</t>
  </si>
  <si>
    <t>Secondo connettore a scomparsa, se connettori accoppiati</t>
  </si>
  <si>
    <t>Connettore LOCK STOP</t>
  </si>
  <si>
    <t>scatole</t>
  </si>
  <si>
    <t>Quantità necessaria</t>
  </si>
  <si>
    <t>pz.</t>
  </si>
  <si>
    <t>PZ.</t>
  </si>
  <si>
    <t>8. Riassunto quantità e codici prodotto</t>
  </si>
  <si>
    <t>IT</t>
  </si>
  <si>
    <t>EN</t>
  </si>
  <si>
    <t>FR</t>
  </si>
  <si>
    <t>ES</t>
  </si>
  <si>
    <t>PT</t>
  </si>
  <si>
    <t>DE</t>
  </si>
  <si>
    <t>Queste indicazioni relative alla scheda di verifica sono da intendersi indicative, fermo restando che la responsabilità del progetto di collegamento ricade interamente sul progettista.</t>
  </si>
  <si>
    <t>La progettazione degli elementi in legno deve essere eseguita separatamente dal progettista strutturale.</t>
  </si>
  <si>
    <t>Come specificato nelle Condizioni Generali accettate dall'utente al momento del download del foglio di calcolo: i risultati ottenuti con questo strumento di calcolo hanno carattere indicativo e devono essere considerati come un servizio tecnico-commerciale nell'ambito dell'attività di vendita di Rotho Blaas srl. Il numero e lo spessore degli inserti devono essere determinati dal progettista responsabile che è tenuto a verificare la correttezza dei risultati derivanti dall'elaborazione dei dati inseriti. Rotho Blaas srl non garantisce il rispetto della normativa vigente e la progettazione dei calcoli effettuati attraverso questo foglio di calcolo. In particolare, a seguito della modifica delle disposizioni in materia quali, ad esempio, norme, approvazioni, ecc. il programma può diventare, in parte o in toto, non valido. Rotho Blaas srl non garantisce e non sarà responsabile per danni diretti o indiretti o conseguenze o altro, in qualsiasi modo (garanzia per difetti, garanzia per malfunzionamenti, garanzia di prodotto o responsabilità legale, ecc.) L'Utente dichiara di utilizzare il foglio di calcolo come professionista con l'obbligo e la responsabilità di verificare che il foglio di calcolo soddisfi le sue specifiche esigenze.</t>
  </si>
  <si>
    <t>aggiornamento con angolo eliminare possibilità 5/6</t>
  </si>
  <si>
    <t>it</t>
  </si>
  <si>
    <t>en</t>
  </si>
  <si>
    <t>de</t>
  </si>
  <si>
    <t>fr</t>
  </si>
  <si>
    <t>es</t>
  </si>
  <si>
    <t>pt</t>
  </si>
  <si>
    <t>Si</t>
  </si>
  <si>
    <t>Yes</t>
  </si>
  <si>
    <t>Ja</t>
  </si>
  <si>
    <t>Oui</t>
  </si>
  <si>
    <t>Sí</t>
  </si>
  <si>
    <t>Sim</t>
  </si>
  <si>
    <t>No</t>
  </si>
  <si>
    <t>Nein</t>
  </si>
  <si>
    <t>Non</t>
  </si>
  <si>
    <t>Não</t>
  </si>
  <si>
    <t>Beam</t>
  </si>
  <si>
    <t>Träger</t>
  </si>
  <si>
    <t>Poutre</t>
  </si>
  <si>
    <t>Viga</t>
  </si>
  <si>
    <t>Column</t>
  </si>
  <si>
    <t>Stütze</t>
  </si>
  <si>
    <t>Poteau</t>
  </si>
  <si>
    <t>Pilar</t>
  </si>
  <si>
    <t>Entaille colonne</t>
  </si>
  <si>
    <t>Muescado columna</t>
  </si>
  <si>
    <t>Entalhe coluna</t>
  </si>
  <si>
    <t>Entaille poutre principale</t>
  </si>
  <si>
    <t>Muescado viga principal</t>
  </si>
  <si>
    <t>Entalhe viga principal</t>
  </si>
  <si>
    <t>Entaille poutre secondaire</t>
  </si>
  <si>
    <t>Muescado viga secundaria</t>
  </si>
  <si>
    <t>Entalhe viga secundária</t>
  </si>
  <si>
    <t>Inclined screws</t>
  </si>
  <si>
    <t>Geneigte Schrauben</t>
  </si>
  <si>
    <t>Vis inclinées</t>
  </si>
  <si>
    <t>Tornillos inclinados</t>
  </si>
  <si>
    <t>Parafusos inclinados</t>
  </si>
  <si>
    <t>Screws geometry and characteristics</t>
  </si>
  <si>
    <t>Schraubengeometrie und Eigenschaften</t>
  </si>
  <si>
    <t>Géométrie et caractéristiques vis</t>
  </si>
  <si>
    <t>Geometría y características de los tornillos</t>
  </si>
  <si>
    <t>Geometria e características parafusos</t>
  </si>
  <si>
    <t>Screw type</t>
  </si>
  <si>
    <t>Type de vis</t>
  </si>
  <si>
    <t>Tipo de tornillo</t>
  </si>
  <si>
    <t>Tipo de parafuso</t>
  </si>
  <si>
    <t>Diameter</t>
  </si>
  <si>
    <t>Durchmesser</t>
  </si>
  <si>
    <t>Diamètre</t>
  </si>
  <si>
    <t>Diámetro</t>
  </si>
  <si>
    <t>Diâmetro</t>
  </si>
  <si>
    <t>Length</t>
  </si>
  <si>
    <t>Länge</t>
  </si>
  <si>
    <t>Longueur</t>
  </si>
  <si>
    <t>Longitud</t>
  </si>
  <si>
    <t>Comprimento</t>
  </si>
  <si>
    <t>Filetto</t>
  </si>
  <si>
    <t>Thread</t>
  </si>
  <si>
    <t>Gewinde</t>
  </si>
  <si>
    <t>Filet</t>
  </si>
  <si>
    <t>Rosca</t>
  </si>
  <si>
    <t>Holz</t>
  </si>
  <si>
    <t>Bois</t>
  </si>
  <si>
    <t>Madera</t>
  </si>
  <si>
    <t>Madeira</t>
  </si>
  <si>
    <t>Per le viti di fissaggio su elemento primario e/o secondario, con densità caratteristica  ρk≤420 kg/m3, non è previsto il preforo. Per trave principale e/o secondaria con densità caratteristica ρk&gt;420 kg/m3 è obbligatorio il preforo. Per le viti su pilastro è sempre obbligatorio il preforo.</t>
  </si>
  <si>
    <t>The pre-drill is not required for fastening screws on main and/or secondary element, with characteristic density ρk≤420 kg/ m3. The pre-drill is mandatory on primary or secondary beam with characteristic density ρk&gt;420 kg/m3. For screws on column, pre-drilling is always mandatory.</t>
  </si>
  <si>
    <t>Pour les vis de fixation sur élément principal et/ou secondaire, avec une densité caractéristique ρk≤420 kg/m3, le pré-perçage n’est pas nécessaire. Pour une poutre principale et/ou secondaire, avec une densité caractéristique ρk&gt;420 kg/m3, le pré-perçage est obligatoire. Pour les vis sur poteau, le pré-perçage est toujours obligatoire.</t>
  </si>
  <si>
    <t>Para os parafusos de fixação no elemento principal e/ou secundário, com densidade característica ρk≤420 kg/m3, não é necessário pré-furo. Para a viga principal e/ou secundária com densidade característica ρk&gt;420 kg/m3 o pré-furo é obrigatório. Para os parafusos no pilar, o pré-furo é sempre obrigatório.</t>
  </si>
  <si>
    <t>POURCENTAGE D'UTILISATION DE LA CONNEXION</t>
  </si>
  <si>
    <t>PORCENTAJE DE USO DE LA CONEXIÓN</t>
  </si>
  <si>
    <t>6.1 Vertical shear (Fv)</t>
  </si>
  <si>
    <t>6.1 Cisaillement verticale (Fv)</t>
  </si>
  <si>
    <t>6.1 Corte vertical (Fv)</t>
  </si>
  <si>
    <t>6.2 Lifting shear (Fup)</t>
  </si>
  <si>
    <t>6.2 Cisaillement de soulèvement (Fup)</t>
  </si>
  <si>
    <t>6.2 Corte elevación (Fup)</t>
  </si>
  <si>
    <t>7. Combined load</t>
  </si>
  <si>
    <t>7. Sollicitation combinée</t>
  </si>
  <si>
    <t>7. Solicitación combinada</t>
  </si>
  <si>
    <t>6.3 Axial (Fax)</t>
  </si>
  <si>
    <t>6.3 Axiale (Fax)</t>
  </si>
  <si>
    <t>6.3 axial (Fax)</t>
  </si>
  <si>
    <t>6.4 lateral shear load (Flat)</t>
  </si>
  <si>
    <t>6.4 Cisaillement latéral (Flat)</t>
  </si>
  <si>
    <t>6.4 Corte lateral (Flat)</t>
  </si>
  <si>
    <t>CALCULATION OF LOCK T CONCEALED TIMBER-TO-TIMBER CONNECTOR</t>
  </si>
  <si>
    <t>LOCK-T VERDECKTER HOLZ-HOLZ VERBINDER BERECHNUNG</t>
  </si>
  <si>
    <t>CALCUL CONNECTEUR À ACCROCHE CACHÉ BOIS - BOIS LOCK-T</t>
  </si>
  <si>
    <t>CÁLCULO CONECTOR OCULTO DE CONEXIÓN MADERA-MADERA LOCK-T</t>
  </si>
  <si>
    <t>CÁLCULO LIGADOR OCULTO DE ENGATE MADEIRA-MADEIRA LOCK-T</t>
  </si>
  <si>
    <t xml:space="preserve">1. General information </t>
  </si>
  <si>
    <t xml:space="preserve">1. Allgemeine Informationen </t>
  </si>
  <si>
    <t xml:space="preserve">1. Informations générales </t>
  </si>
  <si>
    <t xml:space="preserve">1. Información general </t>
  </si>
  <si>
    <t xml:space="preserve">1. Informações gerais </t>
  </si>
  <si>
    <t>Date</t>
  </si>
  <si>
    <t>Datum</t>
  </si>
  <si>
    <t>Fecha</t>
  </si>
  <si>
    <t>RothoBlaas technical salesman</t>
  </si>
  <si>
    <t>RothoBlaas Vertriebsmitarbeiter</t>
  </si>
  <si>
    <t>Technico commerciale RothoBlaas</t>
  </si>
  <si>
    <t>Técnico comercial RothoBlaas</t>
  </si>
  <si>
    <t>Projekt</t>
  </si>
  <si>
    <t>Projet</t>
  </si>
  <si>
    <t>Proyecto</t>
  </si>
  <si>
    <t>Projeto</t>
  </si>
  <si>
    <t>Designer</t>
  </si>
  <si>
    <t>Planer</t>
  </si>
  <si>
    <t>Concepteur</t>
  </si>
  <si>
    <t>Proyectista</t>
  </si>
  <si>
    <t>Projetista</t>
  </si>
  <si>
    <t>Calculation standard</t>
  </si>
  <si>
    <t>Berechnungsnorm</t>
  </si>
  <si>
    <t>Norme de calcul</t>
  </si>
  <si>
    <t>Norma de cálculo</t>
  </si>
  <si>
    <t>Connection nr.</t>
  </si>
  <si>
    <t>Verbindung Nr.</t>
  </si>
  <si>
    <t>Assemblage n°</t>
  </si>
  <si>
    <t>Unión n°</t>
  </si>
  <si>
    <t>Ligação n°</t>
  </si>
  <si>
    <t>Notes</t>
  </si>
  <si>
    <t>Anmerkungen</t>
  </si>
  <si>
    <t>Notas</t>
  </si>
  <si>
    <t>NOTAS</t>
  </si>
  <si>
    <t>Vertical shear action</t>
  </si>
  <si>
    <t>Action de cisaillement verticale</t>
  </si>
  <si>
    <t>Acción de corte vertical</t>
  </si>
  <si>
    <t>Ação de corte vertical</t>
  </si>
  <si>
    <t>Shear action for lifting</t>
  </si>
  <si>
    <t>Action de cisaillement pour le soulèvement</t>
  </si>
  <si>
    <t>Ação de corte per elevação</t>
  </si>
  <si>
    <t>Axial action</t>
  </si>
  <si>
    <t>Action axiale</t>
  </si>
  <si>
    <t>Acción axial</t>
  </si>
  <si>
    <t>Ação axial</t>
  </si>
  <si>
    <t>Lateral action</t>
  </si>
  <si>
    <t>Action latérale</t>
  </si>
  <si>
    <t>Acción lateral</t>
  </si>
  <si>
    <t>Ação lateral</t>
  </si>
  <si>
    <t>Beam base</t>
  </si>
  <si>
    <t>Base de la poutre</t>
  </si>
  <si>
    <t>Base de la viga</t>
  </si>
  <si>
    <t>Base da viga</t>
  </si>
  <si>
    <t>Base del pilastro</t>
  </si>
  <si>
    <t>Column base</t>
  </si>
  <si>
    <t>Base du poteau</t>
  </si>
  <si>
    <t>Base del pilar</t>
  </si>
  <si>
    <t>Base do pilar</t>
  </si>
  <si>
    <t>Beam height</t>
  </si>
  <si>
    <t>Höhe des Balkens</t>
  </si>
  <si>
    <t>Hauteur de la poutre</t>
  </si>
  <si>
    <t>Altura de la viga</t>
  </si>
  <si>
    <t>Altura da viga</t>
  </si>
  <si>
    <t>Profondità del pilastro</t>
  </si>
  <si>
    <t>Column Depth</t>
  </si>
  <si>
    <t>Profondeur du poteau</t>
  </si>
  <si>
    <t>Profundidad del pilar</t>
  </si>
  <si>
    <t>Profundidade do pilar</t>
  </si>
  <si>
    <t>Type of wood</t>
  </si>
  <si>
    <t>Holzart</t>
  </si>
  <si>
    <t>Type de bois</t>
  </si>
  <si>
    <t>Tipo de madera</t>
  </si>
  <si>
    <t>Tipo de madeira</t>
  </si>
  <si>
    <t>Main element orientation</t>
  </si>
  <si>
    <t>Ausrichtung des Hauptelements</t>
  </si>
  <si>
    <t>Orientation élément principal</t>
  </si>
  <si>
    <t>Orientación del elemento principal</t>
  </si>
  <si>
    <t>Orientação elemento principal</t>
  </si>
  <si>
    <t>Beam or column:</t>
  </si>
  <si>
    <t>Poutre ou poteau :</t>
  </si>
  <si>
    <t>Viga o pilar:</t>
  </si>
  <si>
    <t>Viga ou pilar:</t>
  </si>
  <si>
    <t xml:space="preserve">Classe di resistenza per legno </t>
  </si>
  <si>
    <t xml:space="preserve">Festigkeitsklasse für Holz </t>
  </si>
  <si>
    <t xml:space="preserve">Classe de résistance pour le bois </t>
  </si>
  <si>
    <t xml:space="preserve">Clase de resistencia para madera </t>
  </si>
  <si>
    <t xml:space="preserve">Classe de resistência para madeira </t>
  </si>
  <si>
    <t>Characteristic density</t>
  </si>
  <si>
    <t>Charakteristische Dichte</t>
  </si>
  <si>
    <t>Masse volumique caractéristique</t>
  </si>
  <si>
    <t>Massa volúmica característica</t>
  </si>
  <si>
    <t>Characteristic compressive strength parallel to the grain</t>
  </si>
  <si>
    <t>Résistance caractéristique à compression parallèle au fil</t>
  </si>
  <si>
    <t>Resistencia característica a compresión paralela a la fibra</t>
  </si>
  <si>
    <t>Resistência característica à compressão paralela à fibra</t>
  </si>
  <si>
    <t>Characteristic compressive strength perpendicular to the grain</t>
  </si>
  <si>
    <t>Charakteristische Druckfestigkeit senkrecht zur Faser</t>
  </si>
  <si>
    <t>Résistance caractéristique à compression perpendiculaire au fil</t>
  </si>
  <si>
    <t>Resistencia característica a compresión perpendicular a la fibra</t>
  </si>
  <si>
    <t>Resistência característica à compressão perpendicular à fibra</t>
  </si>
  <si>
    <t>Characteristic shear resistance</t>
  </si>
  <si>
    <t>Charakteristische Quertragfähigkeit</t>
  </si>
  <si>
    <t>Résistance caractéristique au cisaillement</t>
  </si>
  <si>
    <t>Resistencia característica al corte</t>
  </si>
  <si>
    <t>Resistência característica ao corte</t>
  </si>
  <si>
    <t>Bei Schrauben an der Stütze ist das Vorbohren immer obligatorisch.</t>
  </si>
  <si>
    <t>Pour les vis sur poteau, le pré-perçage est toujours obligatoire.</t>
  </si>
  <si>
    <t>Para tornillos en pilares, el pre-agujero siempre es obligatorio.</t>
  </si>
  <si>
    <t>Para os parafusos no pilar, o pré-furo é sempre obrigatório.</t>
  </si>
  <si>
    <t>Per le viti di fissaggio su elemento legno con densità caratteristica ρk&gt;420 kg/m3 è obbligatorio il preforo.</t>
  </si>
  <si>
    <t>The pre-drill is required for fastening screws on timber element with with characteristic density ρk&gt; 420 kg/m3.</t>
  </si>
  <si>
    <t>Pour les vis de fixation sur élément en bois avec une densité caractéristique ρk&gt;420 kg/m3, le pré-perçage est nécessaire.</t>
  </si>
  <si>
    <t>Para tornillos de fijación sobre el elemento de madera con densidad característica ρk&gt;420 kg/m3, el pre-agujero es obligatorio.</t>
  </si>
  <si>
    <t>Para os parafusos de fixação no elemento madeira com densidade característica ρk&gt;420 kg/m3, não é necessário pré-furo.</t>
  </si>
  <si>
    <t>Angle in vertical plane</t>
  </si>
  <si>
    <t>Winkel in der vertikalen Ebene</t>
  </si>
  <si>
    <t>Angle dans le plan vertical</t>
  </si>
  <si>
    <t>Ángulo en el plano vertical</t>
  </si>
  <si>
    <t>Ângulo no plano vertical</t>
  </si>
  <si>
    <r>
      <rPr>
        <b/>
        <sz val="10"/>
        <color theme="1"/>
        <rFont val="Verdana"/>
        <family val="2"/>
      </rPr>
      <t>For high angles check that screws do not protrude from the sections geometrically.</t>
    </r>
  </si>
  <si>
    <r>
      <rPr>
        <b/>
        <sz val="10"/>
        <color theme="1"/>
        <rFont val="Verdana"/>
        <family val="2"/>
      </rPr>
      <t>Pour les angles élevés, vérifier que les vis ne dépassent pas des sections géométriquement.</t>
    </r>
  </si>
  <si>
    <t>Characteristic compressive strength perpendicular to fibration</t>
  </si>
  <si>
    <t>Connector selection</t>
  </si>
  <si>
    <t>Auswahl des Verbinders</t>
  </si>
  <si>
    <t>Choix du connecteur</t>
  </si>
  <si>
    <t>Elección del conector</t>
  </si>
  <si>
    <t>Escolha do conector</t>
  </si>
  <si>
    <t>Version with C4 EVO coating</t>
  </si>
  <si>
    <t>Ausführung mit Beschichtung C4 EVO</t>
  </si>
  <si>
    <t>Version avec revêtement C4 EVO</t>
  </si>
  <si>
    <t>Versión con revestimiento C4 EVO</t>
  </si>
  <si>
    <t>Versão com revestimento C4 EVO</t>
  </si>
  <si>
    <t>Connectors coupling: number of connectors</t>
  </si>
  <si>
    <t>Kopplung von Verbindern: Anzahl der Verbinder</t>
  </si>
  <si>
    <t>Accouplement des connecteurs : nombre de connecteurs</t>
  </si>
  <si>
    <t>Acoplamiento conectores: número de conectores</t>
  </si>
  <si>
    <t>Acoplamento com conectores: número de conectores</t>
  </si>
  <si>
    <t>Coupling connectors must be equal in height!</t>
  </si>
  <si>
    <t>gekoppelte Verbinder müssen gleich hoch sein!</t>
  </si>
  <si>
    <t>Les connecteurs accouplés doivent avoir la même hauteur !</t>
  </si>
  <si>
    <t>Los conectores en pares tiene que tener la misma altura!</t>
  </si>
  <si>
    <t>Code des verwendeten Verbinders</t>
  </si>
  <si>
    <t>Code du connecteur utilisé</t>
  </si>
  <si>
    <t>Código del conector utilizado</t>
  </si>
  <si>
    <t>Código do conector utilizado</t>
  </si>
  <si>
    <t>Number of ETA-19/0831 basic modules</t>
  </si>
  <si>
    <t>Height</t>
  </si>
  <si>
    <t>Höhe</t>
  </si>
  <si>
    <t>Hauteur</t>
  </si>
  <si>
    <t>Altura</t>
  </si>
  <si>
    <t>Thickness</t>
  </si>
  <si>
    <t>Stärke</t>
  </si>
  <si>
    <t>Épaisseur</t>
  </si>
  <si>
    <t>Espesor</t>
  </si>
  <si>
    <t>Espessura</t>
  </si>
  <si>
    <t>Holes</t>
  </si>
  <si>
    <t>Löcher</t>
  </si>
  <si>
    <t>Trous</t>
  </si>
  <si>
    <t>Agujeros</t>
  </si>
  <si>
    <t>Furos</t>
  </si>
  <si>
    <t>Contact area between LOCK T connector and head or column</t>
  </si>
  <si>
    <t>Zone de contact entre le connecteur LOCK T et la tête ou la colonne</t>
  </si>
  <si>
    <t>LOCK T connector length</t>
  </si>
  <si>
    <t>LOCK T-Verbinder Länge</t>
  </si>
  <si>
    <t>Longueur du connecteur LOCK T</t>
  </si>
  <si>
    <t>Longitud del conector LOCK T</t>
  </si>
  <si>
    <t>Comprimento do conector LOCK T</t>
  </si>
  <si>
    <t>Form factor</t>
  </si>
  <si>
    <t>Formfaktor</t>
  </si>
  <si>
    <t>Facteur de forme</t>
  </si>
  <si>
    <t>Factor de forma</t>
  </si>
  <si>
    <t>Fator de forma</t>
  </si>
  <si>
    <t>(*) Codice disponibile su richiesta speciale</t>
  </si>
  <si>
    <t>(*) Code available on special request</t>
  </si>
  <si>
    <t>(*) Code auf Anfrage erhältlich</t>
  </si>
  <si>
    <t>(*) Code disponible sur demande spéciale</t>
  </si>
  <si>
    <t>(*) Código disponible bajo pedido específico</t>
  </si>
  <si>
    <t>(*) Código disponível mediante pedido especial</t>
  </si>
  <si>
    <t>(**) Codice disponibile su richiesta speciale</t>
  </si>
  <si>
    <t>(**) Code available on special request</t>
  </si>
  <si>
    <t>(**) Code auf Anfrage erhältlich</t>
  </si>
  <si>
    <t>(**) Code disponible sur demande spéciale</t>
  </si>
  <si>
    <t>(**) Código disponible bajo pedido específico</t>
  </si>
  <si>
    <t>(**) Código disponível mediante pedido especial</t>
  </si>
  <si>
    <t>Connectors coupling:</t>
  </si>
  <si>
    <t>Kopplung von Verbindern:</t>
  </si>
  <si>
    <t>Accouplement des connecteurs :</t>
  </si>
  <si>
    <t>Acoplamiento conectores:</t>
  </si>
  <si>
    <t>Acoplamento com conectores:</t>
  </si>
  <si>
    <t>Fastening screws main element</t>
  </si>
  <si>
    <t>Befestigungsschrauben des Hauptelements</t>
  </si>
  <si>
    <t>Vis de fixation élément principal</t>
  </si>
  <si>
    <t>Tornillos fijación elemento principal</t>
  </si>
  <si>
    <t>Parafusos de fixação elemento principal</t>
  </si>
  <si>
    <t>Screws code main element</t>
  </si>
  <si>
    <t>Hauptelement Schraubencode</t>
  </si>
  <si>
    <t>Code vis élément principal</t>
  </si>
  <si>
    <t>Código tornillo elemento principal</t>
  </si>
  <si>
    <t>Código parafusos elemento principal</t>
  </si>
  <si>
    <t>Nominal diameter</t>
  </si>
  <si>
    <t>Nenndurchmesser</t>
  </si>
  <si>
    <t>Diamètre nominal</t>
  </si>
  <si>
    <t>Diámetro nominal</t>
  </si>
  <si>
    <t>Diâmetro nominal</t>
  </si>
  <si>
    <t>Thread diameter</t>
  </si>
  <si>
    <t>Kerndurchmesser</t>
  </si>
  <si>
    <t>Diamètre noyau</t>
  </si>
  <si>
    <t>Diámetro núcleo</t>
  </si>
  <si>
    <t>Diâmetro do núcleo</t>
  </si>
  <si>
    <t>Head diameter</t>
  </si>
  <si>
    <t>Kopfdurchmesser</t>
  </si>
  <si>
    <t>Diamètre tête</t>
  </si>
  <si>
    <t>Diámetro cabeza</t>
  </si>
  <si>
    <t>Diâmetro da cabeça</t>
  </si>
  <si>
    <t>Thread length</t>
  </si>
  <si>
    <t>Gewindelänge</t>
  </si>
  <si>
    <t>Longueur filet</t>
  </si>
  <si>
    <t>Longitud rosca</t>
  </si>
  <si>
    <t>Comprimento da rosca</t>
  </si>
  <si>
    <t>Characteristic withdrawal parameter</t>
  </si>
  <si>
    <t>Charakteristischer Wert der Ausziehfestigkeit</t>
  </si>
  <si>
    <t>Résistance caractéristique à l’arrachement</t>
  </si>
  <si>
    <t>Parámetro característico extracción</t>
  </si>
  <si>
    <t>Parâmetro característico à extração</t>
  </si>
  <si>
    <t>Associated density</t>
  </si>
  <si>
    <t>Assoziierte Dichte</t>
  </si>
  <si>
    <t>Densité associée</t>
  </si>
  <si>
    <t>Densidad asociada</t>
  </si>
  <si>
    <t>Densidade associada</t>
  </si>
  <si>
    <t>Characteristic tensile strength</t>
  </si>
  <si>
    <t>Charakteristischer Zugwiderstand</t>
  </si>
  <si>
    <t>Résistance caractéristique à la traction</t>
  </si>
  <si>
    <t>Resistencia característica de tracción</t>
  </si>
  <si>
    <t>Resistência característica à tração</t>
  </si>
  <si>
    <t>Characteristic yield moment</t>
  </si>
  <si>
    <t>Charakteristisches Fließmoment</t>
  </si>
  <si>
    <t>Moment plastique caractéristique</t>
  </si>
  <si>
    <t>Momento plástico característico</t>
  </si>
  <si>
    <t>Fastening screws secondary beam</t>
  </si>
  <si>
    <t>Befestigungsschrauben des Nebenträgers</t>
  </si>
  <si>
    <t>Vis fixations poutre secondaire</t>
  </si>
  <si>
    <t>Tornillos fijación viga secundaria</t>
  </si>
  <si>
    <t>Parafusos fixações viga secundária</t>
  </si>
  <si>
    <t>Configurazione Flat:</t>
  </si>
  <si>
    <t>Flat configuration:</t>
  </si>
  <si>
    <t>Flat Konfiguration:</t>
  </si>
  <si>
    <t>Configuration Flat :</t>
  </si>
  <si>
    <t>Configuración Flat:</t>
  </si>
  <si>
    <t>Configuração Flat:</t>
  </si>
  <si>
    <t>Screws code secondary beam</t>
  </si>
  <si>
    <t>Nebenträger Schraubencode</t>
  </si>
  <si>
    <t>Code vis de poutre secondaire</t>
  </si>
  <si>
    <t>Código tornillo viga secundaria</t>
  </si>
  <si>
    <t>Código parafusos viga secundária</t>
  </si>
  <si>
    <t>Configuration for lateral resistance</t>
  </si>
  <si>
    <t>Konfiguration für Widerstand bei Querbeanspruchung</t>
  </si>
  <si>
    <t>Configuration pour résistance latérale</t>
  </si>
  <si>
    <t>Configuración por resistencia lateral</t>
  </si>
  <si>
    <t>Configuração para resistência lateral</t>
  </si>
  <si>
    <t>Type of LOCK STOP connector</t>
  </si>
  <si>
    <t>LOCK STOP Verbindertyp</t>
  </si>
  <si>
    <t>Type de connecteur LOCK STOP</t>
  </si>
  <si>
    <t>Tipo de conector LOCK STOP</t>
  </si>
  <si>
    <t>Inclined screws for lifting and/or lateral resistance</t>
  </si>
  <si>
    <t>Vis inclinées pour résistance au soulèvement et/ou latérale</t>
  </si>
  <si>
    <t>Tornillos inclinados para resistencia al arranque y/o lateral</t>
  </si>
  <si>
    <t>Parafusos inclinados para resistência ao levantamento e/ou lateral</t>
  </si>
  <si>
    <t>Number of inclined screws</t>
  </si>
  <si>
    <t>Anzahl der geneigten Schrauben</t>
  </si>
  <si>
    <t>Nombre de vis inclinées</t>
  </si>
  <si>
    <t>Número de tornillos inclinados</t>
  </si>
  <si>
    <t>Número de parafusos inclinados</t>
  </si>
  <si>
    <t>Screws code</t>
  </si>
  <si>
    <t>Code vis</t>
  </si>
  <si>
    <t>Código tornillos</t>
  </si>
  <si>
    <t>Código parafusos</t>
  </si>
  <si>
    <t>Service class</t>
  </si>
  <si>
    <t>Nutzungsklassen</t>
  </si>
  <si>
    <t>Classes de service</t>
  </si>
  <si>
    <t>Clases de servicio</t>
  </si>
  <si>
    <t>Classes de serviço</t>
  </si>
  <si>
    <t xml:space="preserve">Load duration class </t>
  </si>
  <si>
    <t xml:space="preserve">Klasse der Lasteinwirkungsdauer </t>
  </si>
  <si>
    <t xml:space="preserve">Classe de durée de la charge </t>
  </si>
  <si>
    <t xml:space="preserve">Clase de duración de la carga </t>
  </si>
  <si>
    <t xml:space="preserve">Classe de duração da carga </t>
  </si>
  <si>
    <t>Coefficiente kmod</t>
  </si>
  <si>
    <t>Kmod coefficient</t>
  </si>
  <si>
    <t>Kmod Koeffizient</t>
  </si>
  <si>
    <t>Coefficient kmod</t>
  </si>
  <si>
    <t>Coeficiente kmod</t>
  </si>
  <si>
    <r>
      <rPr>
        <b/>
        <sz val="10"/>
        <color theme="1"/>
        <rFont val="Verdana"/>
        <family val="2"/>
      </rPr>
      <t>Characterized by a material humidity in balance with the environment at a temperature of 20°C and a relative humidity of the surrounding air that does not exceed 65%, if not for a few weeks per year.</t>
    </r>
  </si>
  <si>
    <r>
      <rPr>
        <b/>
        <sz val="10"/>
        <color theme="1"/>
        <rFont val="Verdana"/>
        <family val="2"/>
      </rPr>
      <t>Caractérisé par une humidité du matériau en équilibre avec l'environnement à une température de 20 °C et une humidité relative de l'air environnant qui ne dépasse pas 65 %, si ce n'est pendant quelques semaines par an.</t>
    </r>
  </si>
  <si>
    <r>
      <rPr>
        <b/>
        <sz val="10"/>
        <color theme="1"/>
        <rFont val="Verdana"/>
        <family val="2"/>
      </rPr>
      <t>It is characterized by a material humidity in balance with the environment at a temperature of 20°C and a relative humidity of the surrounding air of more than 85% for only a few weeks a year.</t>
    </r>
  </si>
  <si>
    <r>
      <rPr>
        <b/>
        <sz val="10"/>
        <color theme="1"/>
        <rFont val="Verdana"/>
        <family val="2"/>
      </rPr>
      <t>Elle se caractérise par une humidité du matériau en équilibre avec l'environnement à une température de 20 °C et une humidité relative de l'air environnant de plus de 85 % pendant seulement quelques semaines par an.</t>
    </r>
  </si>
  <si>
    <r>
      <rPr>
        <b/>
        <sz val="10"/>
        <color theme="1"/>
        <rFont val="Verdana"/>
        <family val="2"/>
      </rPr>
      <t>It has higher humidity than service class 2.</t>
    </r>
  </si>
  <si>
    <r>
      <rPr>
        <b/>
        <sz val="10"/>
        <color theme="1"/>
        <rFont val="Verdana"/>
        <family val="2"/>
      </rPr>
      <t>L'humidité est supérieure à celle de la classe de service 2.</t>
    </r>
  </si>
  <si>
    <t>Permanent</t>
  </si>
  <si>
    <t>Dauerhaft</t>
  </si>
  <si>
    <t>Long duration</t>
  </si>
  <si>
    <t>Longue durée</t>
  </si>
  <si>
    <t>Larga duración</t>
  </si>
  <si>
    <t>Longa duração</t>
  </si>
  <si>
    <t>Medium duration</t>
  </si>
  <si>
    <t>Moyenne durée</t>
  </si>
  <si>
    <t>Media duración</t>
  </si>
  <si>
    <t>Média duração</t>
  </si>
  <si>
    <t>Short duration</t>
  </si>
  <si>
    <t>Courte durée</t>
  </si>
  <si>
    <t>Corta duración</t>
  </si>
  <si>
    <t>Breve duração</t>
  </si>
  <si>
    <t>Instantaneous</t>
  </si>
  <si>
    <t>Sofort wirkend</t>
  </si>
  <si>
    <t>Instantanée</t>
  </si>
  <si>
    <t>Instantáneo</t>
  </si>
  <si>
    <t>Instantâneo</t>
  </si>
  <si>
    <r>
      <rPr>
        <b/>
        <sz val="10"/>
        <color theme="1"/>
        <rFont val="Verdana"/>
        <family val="2"/>
      </rPr>
      <t>Own weight and non-removable loads during normal operation of the structure.</t>
    </r>
  </si>
  <si>
    <r>
      <rPr>
        <b/>
        <sz val="10"/>
        <color theme="1"/>
        <rFont val="Verdana"/>
        <family val="2"/>
      </rPr>
      <t>Poids propre et charges non amovibles pendant le fonctionnement normal de la structure.</t>
    </r>
  </si>
  <si>
    <r>
      <rPr>
        <b/>
        <sz val="10"/>
        <color theme="1"/>
        <rFont val="Verdana"/>
        <family val="2"/>
      </rPr>
      <t>Permanent loads that may change during normal operation of the structure and variable loads related to warehouses and deposits.</t>
    </r>
  </si>
  <si>
    <r>
      <rPr>
        <b/>
        <sz val="10"/>
        <color theme="1"/>
        <rFont val="Verdana"/>
        <family val="2"/>
      </rPr>
      <t>Les charges permanentes qui peuvent changer pendant le fonctionnement normal de la structure et les charges variables liées aux entrepôts et aux dépôts.</t>
    </r>
  </si>
  <si>
    <t>Variable loads of buildings, except those relating to warehouses and deposits.</t>
  </si>
  <si>
    <r>
      <rPr>
        <b/>
        <sz val="10"/>
        <color theme="1"/>
        <rFont val="Verdana"/>
        <family val="2"/>
      </rPr>
      <t>Charges variables de bâtiments, à l'exception de celles relatives aux entrepôts et dépôts.</t>
    </r>
  </si>
  <si>
    <r>
      <rPr>
        <b/>
        <sz val="10"/>
        <color theme="1"/>
        <rFont val="Verdana"/>
        <family val="2"/>
      </rPr>
      <t>Average wind action.</t>
    </r>
  </si>
  <si>
    <r>
      <rPr>
        <b/>
        <sz val="10"/>
        <color theme="1"/>
        <rFont val="Verdana"/>
        <family val="2"/>
      </rPr>
      <t>Action moyenne du vent.</t>
    </r>
  </si>
  <si>
    <r>
      <rPr>
        <b/>
        <sz val="10"/>
        <color theme="1"/>
        <rFont val="Verdana"/>
        <family val="2"/>
      </rPr>
      <t>Peak wind action and exceptional action.</t>
    </r>
  </si>
  <si>
    <r>
      <rPr>
        <b/>
        <sz val="10"/>
        <color theme="1"/>
        <rFont val="Verdana"/>
        <family val="2"/>
      </rPr>
      <t>Des vents forts et des scènes d'action incroyables.</t>
    </r>
  </si>
  <si>
    <t>Acción de pico del viento y acciones excepcionales.</t>
  </si>
  <si>
    <r>
      <rPr>
        <b/>
        <sz val="10"/>
        <color theme="1"/>
        <rFont val="Verdana"/>
        <family val="2"/>
      </rPr>
      <t>Continuously controlled production (VOC &lt;15%)</t>
    </r>
  </si>
  <si>
    <r>
      <rPr>
        <b/>
        <sz val="10"/>
        <color theme="1"/>
        <rFont val="Verdana"/>
        <family val="2"/>
      </rPr>
      <t>Production contrôlée en continu (COV &lt; 15 %)</t>
    </r>
  </si>
  <si>
    <t>Safety coefficient of connection</t>
  </si>
  <si>
    <t>Coefficient de sécurité de connexion</t>
  </si>
  <si>
    <t>Coeficiente de seguridad conexión</t>
  </si>
  <si>
    <t>Coeficiente de segurança conexão</t>
  </si>
  <si>
    <t>Safety coefficient of aluminium</t>
  </si>
  <si>
    <t>Coefficient de sécurité aluminium</t>
  </si>
  <si>
    <t>Coeficiente de seguridad aluminio</t>
  </si>
  <si>
    <t>Coeficiente de segurança alumínio</t>
  </si>
  <si>
    <r>
      <t xml:space="preserve">6. </t>
    </r>
    <r>
      <rPr>
        <b/>
        <sz val="10"/>
        <color theme="1"/>
        <rFont val="Verdana"/>
        <family val="2"/>
      </rPr>
      <t>Design checks for individual direction</t>
    </r>
  </si>
  <si>
    <r>
      <t xml:space="preserve">6. </t>
    </r>
    <r>
      <rPr>
        <b/>
        <sz val="10"/>
        <color theme="1"/>
        <rFont val="Verdana"/>
        <family val="2"/>
      </rPr>
      <t>Vérifications de conception pour les directions individuelles</t>
    </r>
  </si>
  <si>
    <t>Il dimensionamento e la vita degli elementi in legno devono essere svolti a parte. In particolare, per carichi perpendicolari all'asse della trave, si raccomanda di eseguire una verifica per splitting in entrambi gli elementi in legno.</t>
  </si>
  <si>
    <t>Dimensioning and life of the timber elements must be carried out separately. In particular, for loads perpendicular to the beam axis, it is recommended to perform a splitting check in both wooden elements.</t>
  </si>
  <si>
    <t>A dimensão e a vida dos elementos de madeira devem ser feitas à parte. Em particular, para cargas perpendiculares ao eixo da viga, é recomendável realizar uma verificação do splitting em ambos os elementos de madeira.</t>
  </si>
  <si>
    <t>6.1 vertikale Querkraft (Fv)</t>
  </si>
  <si>
    <t>6.1 Cisaillement verticale (FV)</t>
  </si>
  <si>
    <r>
      <rPr>
        <b/>
        <sz val="10"/>
        <color theme="1"/>
        <rFont val="Verdana"/>
        <family val="2"/>
      </rPr>
      <t>Characteristic resistance to bearing stress main element</t>
    </r>
  </si>
  <si>
    <r>
      <rPr>
        <b/>
        <sz val="10"/>
        <color theme="1"/>
        <rFont val="Verdana"/>
        <family val="2"/>
      </rPr>
      <t>Résistance caractéristique à la pression diamétrale de l'élément principal</t>
    </r>
  </si>
  <si>
    <t>Resistência característica ao recalcamento elemento principal</t>
  </si>
  <si>
    <t>Characteristic axial capacity of a screw on main element</t>
  </si>
  <si>
    <r>
      <rPr>
        <b/>
        <sz val="10"/>
        <color theme="1"/>
        <rFont val="Verdana"/>
        <family val="2"/>
      </rPr>
      <t>Capacité axiale caractéristique d'une vis sur un élément principal</t>
    </r>
  </si>
  <si>
    <t>Capacidad axial característica de un tornillo en el elemento principal</t>
  </si>
  <si>
    <t>Capacidade axial caraterística de um parafuso no elemento principal</t>
  </si>
  <si>
    <t>Load characteristic capacity for shear plane for fastening main element</t>
  </si>
  <si>
    <t>Capacidade de carga caraterística por plano de corte para fixação elemento principal</t>
  </si>
  <si>
    <t>Characteristic strength main element</t>
  </si>
  <si>
    <t>Charakteristischer Festigkeit des Hauptelements</t>
  </si>
  <si>
    <t>Résistance caractéristique de l'élément principal</t>
  </si>
  <si>
    <t>Resistencia característica elemento principal</t>
  </si>
  <si>
    <t>Resistência característica elemento principal</t>
  </si>
  <si>
    <t>Characteristic strength aluminium</t>
  </si>
  <si>
    <t>Résistance caractéristique aluminium</t>
  </si>
  <si>
    <t>Resistencia característica aluminio</t>
  </si>
  <si>
    <t>Resistência característica alumínio</t>
  </si>
  <si>
    <r>
      <rPr>
        <b/>
        <sz val="10"/>
        <color theme="1"/>
        <rFont val="Verdana"/>
        <family val="2"/>
      </rPr>
      <t>Characteristic resistance to bearing stress secondary element</t>
    </r>
  </si>
  <si>
    <r>
      <rPr>
        <b/>
        <sz val="10"/>
        <color theme="1"/>
        <rFont val="Verdana"/>
        <family val="2"/>
      </rPr>
      <t>Résistance caractéristique à la pression diamétrale de l'élément secondaire</t>
    </r>
  </si>
  <si>
    <t>Resistência característica ao recalcamento elemento secundário</t>
  </si>
  <si>
    <t>Characteristic axial capacity of a screw on secondary element</t>
  </si>
  <si>
    <r>
      <rPr>
        <b/>
        <sz val="10"/>
        <color theme="1"/>
        <rFont val="Verdana"/>
        <family val="2"/>
      </rPr>
      <t>Capacité axiale caractéristique d'une vis sur un élément secondaire</t>
    </r>
  </si>
  <si>
    <t>Capacidad axial característica de un tornillo en el elemento secundario</t>
  </si>
  <si>
    <t>Capacidade axial caraterística de um parafuso no elemento secundário</t>
  </si>
  <si>
    <r>
      <rPr>
        <b/>
        <sz val="10"/>
        <color theme="1"/>
        <rFont val="Verdana"/>
        <family val="2"/>
      </rPr>
      <t>Load characteristic capacity for shear plane for fastening secondary element</t>
    </r>
  </si>
  <si>
    <t>Capacité de charge caractéristique pour le plan de cisaillement pour la fixation de l'élément secondaire</t>
  </si>
  <si>
    <t>Capacidade de carga caraterística por plano de corte para fixação elemento secundário</t>
  </si>
  <si>
    <t>Characteristic strength secondary element</t>
  </si>
  <si>
    <t>Charakteristischer Festigkeit des Nebenelements</t>
  </si>
  <si>
    <t>Résistance caractéristique de l'élément secondaire</t>
  </si>
  <si>
    <t>Resistencia característica elemento secundario</t>
  </si>
  <si>
    <t>Resistência característica elemento secundário</t>
  </si>
  <si>
    <t>Characteristic strenght</t>
  </si>
  <si>
    <t>Charakteristische Tragfähigkeit</t>
  </si>
  <si>
    <t>Résistance caractéristique</t>
  </si>
  <si>
    <t>Resistencia característica</t>
  </si>
  <si>
    <t>Resistência característica</t>
  </si>
  <si>
    <t>Design strength</t>
  </si>
  <si>
    <t>Résistance du design</t>
  </si>
  <si>
    <t>Resistencia de diseño</t>
  </si>
  <si>
    <t>Resistência do design</t>
  </si>
  <si>
    <t>Verification of connection</t>
  </si>
  <si>
    <t>Prüfung der Verbindung</t>
  </si>
  <si>
    <t>Vérification de la connexion</t>
  </si>
  <si>
    <t>Comprobación de la conexión</t>
  </si>
  <si>
    <t>Verificação da conexão</t>
  </si>
  <si>
    <t>6.2 Taglio verticale di sollevamento (Fup)</t>
  </si>
  <si>
    <r>
      <rPr>
        <b/>
        <sz val="10"/>
        <color theme="1"/>
        <rFont val="Verdana"/>
        <family val="2"/>
      </rPr>
      <t>6.2 vertical Lifting shear (Fup)</t>
    </r>
  </si>
  <si>
    <t>6.2 Cisaillement vertical du soulèvement (Fup)</t>
  </si>
  <si>
    <t>6.2 Corte vertical de elevación (Fup)</t>
  </si>
  <si>
    <t>6.2 Corte vertical de elevação (Fup)</t>
  </si>
  <si>
    <r>
      <rPr>
        <b/>
        <sz val="10"/>
        <color theme="1"/>
        <rFont val="Verdana"/>
        <family val="2"/>
      </rPr>
      <t>Characteristic resistance to bearing stress</t>
    </r>
  </si>
  <si>
    <r>
      <rPr>
        <b/>
        <sz val="10"/>
        <color theme="1"/>
        <rFont val="Verdana"/>
        <family val="2"/>
      </rPr>
      <t>Résistance caractéristique au refoulement</t>
    </r>
  </si>
  <si>
    <t>Resistência característica ao recalcamento</t>
  </si>
  <si>
    <t>Characteristic axial capacity of an inclined screw</t>
  </si>
  <si>
    <t>Capacité axiale caractéristique d'une vis inclinée</t>
  </si>
  <si>
    <t>Capacidad axial característica de un tornillo inclinado</t>
  </si>
  <si>
    <t>Capacidade axial caraterística de um parafuso inclinado</t>
  </si>
  <si>
    <t>Load characteristic capacity for shear plane for fastening secondary element</t>
  </si>
  <si>
    <t>6.4 Seitliche Scherkraft (Flat)</t>
  </si>
  <si>
    <t>Effective number of screws for secondary or main element</t>
  </si>
  <si>
    <t>Nombre effective de vis par élément secondaire ou primaire</t>
  </si>
  <si>
    <t>Número efectivo de tornillos para elemento secundario o principal</t>
  </si>
  <si>
    <t>Número efetivo de parafusos por elemento principal ou secundário</t>
  </si>
  <si>
    <t>Coefficient in accordance with EN 1995-1-1, 6.1.5</t>
  </si>
  <si>
    <t>Koeffizient gemäß EN 1995-1-1, 6.1.5</t>
  </si>
  <si>
    <t>Coefficient selon EN 1995-1-1, 6.1.5</t>
  </si>
  <si>
    <t>Coeficiente de acuerdo con EN 1995-1-1, 6.1.5</t>
  </si>
  <si>
    <t>Coeficiente de acordo com EN 1995-1-1, 6.1.5</t>
  </si>
  <si>
    <t>Coefficient in accordance with EN 1995-1-1, eq. 6.62</t>
  </si>
  <si>
    <t>Koeffizient gemäß EN 1995-1-1, eq. 6.62</t>
  </si>
  <si>
    <t>Coefficient selon EN 1995-1-1, eq. 6,62</t>
  </si>
  <si>
    <t>Coeficiente de acuerdo con EN 1995-1-1, eq. 6.62</t>
  </si>
  <si>
    <t>Coeficiente de acordo com EN 1995-1-1, eq. 6.62</t>
  </si>
  <si>
    <t>7. Design checks in the case of combined loading</t>
  </si>
  <si>
    <t>7. Vérifications de conception en cas de sollicitations combinées</t>
  </si>
  <si>
    <t>Combined loading check required?</t>
  </si>
  <si>
    <r>
      <rPr>
        <b/>
        <sz val="10"/>
        <color theme="1"/>
        <rFont val="Verdana"/>
        <family val="2"/>
      </rPr>
      <t>Contrôle de contrainte de sollicitations combinées ?</t>
    </r>
  </si>
  <si>
    <t>Vertical shear</t>
  </si>
  <si>
    <t>vertikale Querkraft</t>
  </si>
  <si>
    <t>Cisaillement vertical</t>
  </si>
  <si>
    <t>Corte vertical</t>
  </si>
  <si>
    <r>
      <rPr>
        <b/>
        <sz val="10"/>
        <color theme="1"/>
        <rFont val="Verdana"/>
        <family val="2"/>
      </rPr>
      <t>vertical Lifting shear</t>
    </r>
  </si>
  <si>
    <t>Cisaillement vertical du soulèvement</t>
  </si>
  <si>
    <t>Corte vertical de elevación</t>
  </si>
  <si>
    <t>Corte vertical de elevação</t>
  </si>
  <si>
    <t>Axiale Wirkung</t>
  </si>
  <si>
    <t>Lateral shear</t>
  </si>
  <si>
    <t>Seitliche Scherkraft</t>
  </si>
  <si>
    <t>Cisaillement latéral</t>
  </si>
  <si>
    <t>Corte lateral</t>
  </si>
  <si>
    <t>Fv,d and Fup,d  are forces acting in opposite directions. Therefore only one of the forces Fv,d and Fup,d can act in combination with the forces Fax,d or Flat,d.</t>
  </si>
  <si>
    <t>Fv,d und Fup,d sind in entgegengesetzter Richtung wirkende Kräfte. Daher kann nur eine der Kräfte Fv,d und Fup,d in Kombination mit den Kräften Fax,d oder Flat,d wirken.</t>
  </si>
  <si>
    <t>Fv,d et Fup,d sont des forces qui agissent dans des directions opposées. C’est pourquoi seulement une des forces Fv,d et Fup,d peut agir en combinaison avec les forces Fax,d ou Flat,d.</t>
  </si>
  <si>
    <t>Fv,d e Fup,d são forças que atuam em direções opostas. Portanto, apenas uma das forças Fv,d e Fup,d pode atuar em combinação com as forças Fax,d ou Flat,d.</t>
  </si>
  <si>
    <r>
      <rPr>
        <b/>
        <sz val="10"/>
        <color theme="1"/>
        <rFont val="Verdana"/>
        <family val="2"/>
      </rPr>
      <t>Select the stresses to be considered in the combined check.</t>
    </r>
  </si>
  <si>
    <r>
      <rPr>
        <b/>
        <sz val="10"/>
        <color theme="1"/>
        <rFont val="Verdana"/>
        <family val="2"/>
      </rPr>
      <t>Sélectionnez les contraintes à prendre en compte dans le véhicule combiné.</t>
    </r>
  </si>
  <si>
    <t>8. Quantity and product codes summary</t>
  </si>
  <si>
    <t>8. Sommaire de quantité et de codes du produit</t>
  </si>
  <si>
    <t>8. Resumo quantidade y códigos produto</t>
  </si>
  <si>
    <t>Number of connections</t>
  </si>
  <si>
    <t>Anzahl der Verbindungen</t>
  </si>
  <si>
    <t>Nombre de connexions</t>
  </si>
  <si>
    <t>Número de conexiones</t>
  </si>
  <si>
    <t>Número de conexões</t>
  </si>
  <si>
    <t>Code</t>
  </si>
  <si>
    <t>Art.-Nr.</t>
  </si>
  <si>
    <t>Código</t>
  </si>
  <si>
    <t>Quantity required</t>
  </si>
  <si>
    <t>Quantité nécessaire</t>
  </si>
  <si>
    <t>Cantidad necesaria</t>
  </si>
  <si>
    <t>Quantidade necessária</t>
  </si>
  <si>
    <t>pcs</t>
  </si>
  <si>
    <t>Stk.</t>
  </si>
  <si>
    <t>pcs.</t>
  </si>
  <si>
    <t>unid.</t>
  </si>
  <si>
    <t>pçs</t>
  </si>
  <si>
    <t>Coupling hidden fastener</t>
  </si>
  <si>
    <t>Verdeckter Verbinder</t>
  </si>
  <si>
    <t>Connecteur à accroche invisible</t>
  </si>
  <si>
    <t>Conector oculto</t>
  </si>
  <si>
    <t>Ligador não aparente de engate</t>
  </si>
  <si>
    <t>Second concealed connector, if coupling connectors</t>
  </si>
  <si>
    <r>
      <rPr>
        <b/>
        <sz val="10"/>
        <color theme="1"/>
        <rFont val="Verdana"/>
        <family val="2"/>
      </rPr>
      <t>Deuxième connecteur caché, si les connecteurs sont accouplés</t>
    </r>
  </si>
  <si>
    <t>Segundo conector oculto, si conectores en pares</t>
  </si>
  <si>
    <t>Segundo ligador oculto, si ligadores acoplados</t>
  </si>
  <si>
    <t>LOCK STOP connector</t>
  </si>
  <si>
    <t>LOCK STOP Verbinder</t>
  </si>
  <si>
    <t>Connecteur LOCK STOP</t>
  </si>
  <si>
    <t>Conector LOCK STOP</t>
  </si>
  <si>
    <t>Rotho Blaas ha svolto le verifiche secondo il metodo degli Stati Limite in accordo EC 1995-1-1 Eurocodice 5-Progettazione delle strutture di legno. Per i valori di resistenza meccanica e per la geometria dei connettori LOCK e LOCK STOP si è fatto riferimento a quanto riportato in ETA-19/0831. Per i valori di resistenza meccanica e per la geometria delle viti si è fatto riferimento a quanto riportato in ETA-11/0030.
I valori statici sono stati calcolati assumendo uno spessore costante dell'elemento in metallo, includendo lo spessore del LOCK STOP.
La resistenza Fup con vite inclinata è stata calcolata considerando il numero efficace per viti caricate assialmente secondo ETA-11/0030.
Deve essere posta particolare attenzione nell'esecuzione della fresata nell'elemento principale o nella trave secondaria per limitare lo scorrimento laterale della connessione.
La resistenza Flat con vite inclinata è stata calcolata considerando il numero efficace di viti disposte parallelamente alla fibra secondo EN1995-1-1.
Nel caso di utilizzo di connettori accoppiati, deve essere posta particolare attenzione nell'allineamento durante la posa, in modo da evitare sollecitazioni differenti nei due connettori.
Deve essere sempre eserguito un fissaggio totale del connettore, utilizzando tutti i fori.
Non è ammesso il fissagio con chiodatura parziale. Per ogni metà connettore devono essere utilizzate viti con la stessa lunghezza.
Nel caso di fresata nell'elemento principale o nella trave secondaria deve essere posta particolare attenzione nell'esecuzione della fresata stessa per limitare lo scorrimento laterale della connessione.
Il dimensionamento e la verifica degli elementi in legno devono essere svolti a parte. Prima dell'esecuzione, tutti i calcoli devono essere verificati ed approvati dal progettista responsabile. È dovere del progettista responsabile verificare ad ogni utilizzo la conformità dei dati alla normativa vigente e al progetto. La responsabilità ultima della scelta del prodotto adeguato per una specifica applicazione spetta al progettista.</t>
  </si>
  <si>
    <t>Rotho Blaas carried out the checks according to the Limit State method in accordance with EC 1995-1-1 Eurocode 5 - Design of timber structures. For the mechanical strength values and the geometry of the LOCK and LOCK STOP connector, reference was made to ETA-19/0831. For the mechanical resistance values and the geometry of the screws, reference was made to ETA-11/0030.
Static values were calculated assuming a constant thickness of the metal element, including the thickness of the LOCK STOP.
The Fup strength with inclined screw was calculated considering the effective number for axially loaded screws according to ETA-11/0030.
Special care must be taken in the execution of cutting the rebate in the main element or secondary beam to limit the lateral sliding of the connection.
The Flat strength with inclined screw was calculated considering the effective number of screws arranged parallel to the fibre according to EN 1995-1-1.
If coupled connectors are used, special care must be taken in alignment during installation to avoid different stresses in the two connectors.
The connector must always be fully fastened using all the holes.
Fastening with partial nailing is not allowed. Screws with the same length must be used for each connector half.
In the case of grooving in the main element or in the secondary beam, particular care must be taken when carrying out the grooving in order to limit the lateral sliding of the connection.
Dimensioning and verification of the timber elements must be carried out separately. 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t>
  </si>
  <si>
    <r>
      <t xml:space="preserve">Rotho Blaas a effectué les vérifications selon la méthode des états-limites conformément à l'Eurocode 5 EC 1995-1-1 Conception et calcul des structures en bois. Pour les valeurs de résistance mécanique et pour la géométrie des connecteurs LOCK et LOCK STOP, il a été fait référence à ce qui est reporté dans ETA-19/0831. Pour les valeurs de résistance mécanique et pour la géométrie des vis, il a été fait référence à ce qui est reporté dans ETA-11/0030.
Les valeurs statiques ont été calculées en supposant une épaisseur constante de l'élément métallique, incluant l'épaisseur du LOCK STOP.
La résistance Fup avec vis inclinée a été calculée en tenant compte du nombre efficace de vis chargées axialement selon ETA-11/ 0030.
Une attention particulière doit être portée à l'exécution du fraisage dans l'élément principal ou dans la poutre secondaire pour limiter le glissement latéral de l'assemblage.
La résistance Flat avec vis inclinée a été calculée en tenant compte du nombre efficace de vis disposées parallèlement à la fibre selon EN 1995-1-1.
En cas d’utilisation de connecteurs couplés, une attention particulière doit être portée à l’alignement durant la pose, afin d’éviter des sollicitations différentes sur les deux connecteurs.
Une fixation totale du connecteur doit toujours être effectuée en utilisant tous les trous.
La fixation avec clouage partiel n’est pas autorisé. Des vis de même longueur doivent être utilisées pour chaque moitié de connecteur.
</t>
    </r>
    <r>
      <rPr>
        <b/>
        <sz val="10"/>
        <color theme="1"/>
        <rFont val="Verdana"/>
        <family val="2"/>
      </rPr>
      <t>En cas de fraisage dans l'élément principal ou la poutre secondaire, il convient de faire particulièrement attention lors du fraisage afin de limiter le glissement latéral de la connexion.</t>
    </r>
    <r>
      <rPr>
        <sz val="10"/>
        <color theme="1"/>
        <rFont val="Verdana"/>
        <family val="2"/>
      </rPr>
      <t xml:space="preserve">
</t>
    </r>
    <r>
      <rPr>
        <sz val="10"/>
        <color theme="1"/>
        <rFont val="Verdana"/>
        <family val="2"/>
      </rPr>
      <t>Le dimensionnement et la vérification des éléments en bois seront effectués séparément.</t>
    </r>
    <r>
      <rPr>
        <sz val="10"/>
        <color theme="1"/>
        <rFont val="Verdana"/>
        <family val="2"/>
      </rPr>
      <t xml:space="preserve"> </t>
    </r>
    <r>
      <rPr>
        <b/>
        <sz val="10"/>
        <color theme="1"/>
        <rFont val="Verdana"/>
        <family val="2"/>
      </rPr>
      <t>Tous les calculs doivent être vérifiés et approuvés par le concepteur responsable avant leur exécution.</t>
    </r>
    <r>
      <rPr>
        <sz val="10"/>
        <color theme="1"/>
        <rFont val="Verdana"/>
        <family val="2"/>
      </rPr>
      <t xml:space="preserve"> </t>
    </r>
    <r>
      <rPr>
        <sz val="10"/>
        <color theme="1"/>
        <rFont val="Verdana"/>
        <family val="2"/>
      </rPr>
      <t>Le concepteur responsable ont le devoir de vérifier, à chaque utilisation, la conformité des données à la règlementation en vigueur et au projet.</t>
    </r>
    <r>
      <rPr>
        <sz val="10"/>
        <color theme="1"/>
        <rFont val="Verdana"/>
        <family val="2"/>
      </rPr>
      <t xml:space="preserve"> </t>
    </r>
    <r>
      <rPr>
        <sz val="10"/>
        <color theme="1"/>
        <rFont val="Verdana"/>
        <family val="2"/>
      </rPr>
      <t>La responsabilité ultime du choix du produit approprié pour une application spécifique incombe au concepteur.</t>
    </r>
  </si>
  <si>
    <t>This information on the verification sheet is intended to be an indication. Nevertheless, the responsibility for the connection project lies entirely with the designer.</t>
  </si>
  <si>
    <t>Diese Angaben zum Verifikationsblatt sind als Richtwerte zu verstehen, wobei die volle Verantwortung für das Anschlussprojekt beim Konstrukteur liegt.</t>
  </si>
  <si>
    <t>Estas indicaciones relativas a la hoja de verificación deben ser interpretadas como indicativas, entendiéndose que la responsabilidad completa del proyecto de conexión recae en el proyectista.</t>
  </si>
  <si>
    <t>Estas indicações relativas à ficha de verificação devem ter um carácter indicativo, no pressuposto de que a responsabilidade total do projecto de ligação incumbe ao projectista.</t>
  </si>
  <si>
    <t>The design of the wooden elements is to be carried out separately by the structural designer.</t>
  </si>
  <si>
    <t>Die Bemessung der Holzelemente muss getrennt vom Tragwerksplaner durchgeführt werden.</t>
  </si>
  <si>
    <t>La conception des éléments en bois doit être effectuée séparément du concepteur de la structure.</t>
  </si>
  <si>
    <t>A concepção dos elementos de madeira deve ser realizada separadamente do projectista da estrutura.</t>
  </si>
  <si>
    <t>As specified in the General Terms and conditions accepted by the user when downloading the spreadsheet:the results obtained with this calculation tool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t>
  </si>
  <si>
    <t>Comme indiqué dans les conditions générales acceptées par l'utilisateur lors du téléchargement du tableur : les résultats obtenus avec cet outil de calcul sont de nature indicative et doivent être considérés comme un service technico-commercial dans le cadre de l'activité commerciale de Rotho Blaas srl. Le nombre et l'épaisseur des inserts doivent être déterminés par le concepteur responsable qui est tenu de vérifier l'exactitude des résultats découlant du traitement des données saisies. Rotho Blaas srl ne garantit pas le respect de la législation en vigueur et la conception des calculs effectués à l'aide de ce tableur. En particulier, suite à la modification des dispositions pertinentes telles que, par exemple, les normes, les approbations, etc. le programme peut devenir, en partie ou en totalité, invalide. Rotho Blaas srl ne garantit pas et ne sera pas responsable des dommages ou conséquences directs ou indirects ou autres, de quelque manière que ce soit (garantie pour les défauts, garantie pour le mauvais fonctionnement, responsabilité du produit ou responsabilité légale, etc.) L'utilisateur déclare utiliser le tableur en tant que professionnel avec l'obligation et la responsabilité de vérifier que le tableur répond à ses besoins spécifiques.</t>
  </si>
  <si>
    <t>Como especificado nas Condições Gerais aceites pelo utilizador ao descarregar a folha de cálculo: os resultados obtidos com esta ferramenta de cálculo são de carácter indicativo e devem ser considerados como um serviço técnico-comercial no âmbito da actividade de vendas da Rotho Blaas srl. O número e a espessura das inserções devem ser determinados pelo projectista responsável que deve verificar a exactidão dos resultados decorrentes do tratamento dos dados introduzidos. A Rotho Blaas srl não garante o cumprimento da legislação em vigor nem a concepção dos cálculos efectuados através desta folha de cálculo. Em particular, na sequência da alteração das disposições pertinentes como, por exemplo, normas, aprovações, etc., o programa pode tornar-se, em parte ou na totalidade, inválido. A Rotho Blaas srl não garante e não será responsável por danos ou consequências directas ou indirectas ou outras, de qualquer forma (garantia por defeitos, garantia por mau funcionamento, responsabilidade pelo produto ou responsabilidade legal, etc.). O Utilizador declara utilizar a folha de cálculo como profissional com a obrigação e responsabilidade de verificar se a folha de cálculo satisfaz as suas necessidades específicas.</t>
  </si>
  <si>
    <t>Project</t>
  </si>
  <si>
    <t>!! element too small for the selected connector !!</t>
  </si>
  <si>
    <t>!! Element zu klein für den gewählten Anschluss !!</t>
  </si>
  <si>
    <t>!! élément trop petit pour le connecteur sélectionné !!</t>
  </si>
  <si>
    <t>¡¡ elemento demasiado pequeño para el conector seleccionado !!</t>
  </si>
  <si>
    <t>!! elemento demasiado pequeno para o conector seleccionado !!</t>
  </si>
  <si>
    <t>VERIFICATO</t>
  </si>
  <si>
    <t>NON VERIFICATO</t>
  </si>
  <si>
    <t>VERIFICADO</t>
  </si>
  <si>
    <t>VERIFIED</t>
  </si>
  <si>
    <t>NOT VERIFIED</t>
  </si>
  <si>
    <t>NICHT VERIFIZIERT</t>
  </si>
  <si>
    <t>NON VÉRIFIÉ</t>
  </si>
  <si>
    <t>NO VERIFICADO</t>
  </si>
  <si>
    <t>NÃO VERIFICADO</t>
  </si>
  <si>
    <t>Notch in main beam</t>
  </si>
  <si>
    <t>Notch in secondary beam</t>
  </si>
  <si>
    <t>USE PERCENTAGE OF CONNECTION</t>
  </si>
  <si>
    <t>Timber class</t>
  </si>
  <si>
    <t>Characteristic strength for rolling shear</t>
  </si>
  <si>
    <t>Connector code</t>
  </si>
  <si>
    <t>Timber</t>
  </si>
  <si>
    <t>6.4 Lateral shear load (Flat)</t>
  </si>
  <si>
    <t>PERCENTAGEM DE UTILIZAÇÃO DA LIGAÇÃO</t>
  </si>
  <si>
    <t>7. Carga combinada</t>
  </si>
  <si>
    <t>6.2 Corte vertical ascendente (Fup)</t>
  </si>
  <si>
    <t>Resistência ao corte caraterístico para laminação de fibra</t>
  </si>
  <si>
    <t>Caracterizado por uma humidade do material em equilíbrio com o ambiente a uma temperatura de 20 ºC e uma humidade relativa do ar circundante que não excede 65%, se não por algumas semanas por ano.</t>
  </si>
  <si>
    <t>Stützenfräsung</t>
  </si>
  <si>
    <t>Fräsung Hauptträger</t>
  </si>
  <si>
    <t>Fräsung Nebenträger</t>
  </si>
  <si>
    <t>Schraubentyp</t>
  </si>
  <si>
    <t>6.2 Abhebende Kräfte (Fup)</t>
  </si>
  <si>
    <t>7. Kombinierte Beanspruchung</t>
  </si>
  <si>
    <t>6.4 Seitliche Beanspruchung (Flat)</t>
  </si>
  <si>
    <t>vertikale Scherkraft</t>
  </si>
  <si>
    <t>Abhebende Scherkraft</t>
  </si>
  <si>
    <t>Axiale Beanspruchung</t>
  </si>
  <si>
    <t>Seitliche Beanspruchung</t>
  </si>
  <si>
    <t>Breite des Balkens</t>
  </si>
  <si>
    <t>Breite der Stütze</t>
  </si>
  <si>
    <t>Tiefe der Stütze</t>
  </si>
  <si>
    <t>Balken oder Stütze:</t>
  </si>
  <si>
    <t>Breite</t>
  </si>
  <si>
    <t>geneigte Schrauben für abhebende Kräfte und/oder den seitlichen Widerstand</t>
  </si>
  <si>
    <t>Charakterisiert durch eine Materialfeuchtigkeit, die im Gleichgewicht mit der Umgebung steht bei einer Temperatur von 20 °C und einer relativen Luftfeuchtigkeit der Umgebungsluft, die 65 % maximal für einige Wochen pro Jahr überschreitet</t>
  </si>
  <si>
    <t>Zeichnet sich durch eine Materialfeuchtigkeit aus, die im Gleichgewicht mit der Umgebung steht bei einer Temperatur von 20 °C und einer relativen Luftfeuchtigkeit der Umgebungsluft von mehr als 85 % für nur wenige Wochen im Jahr.</t>
  </si>
  <si>
    <t>Hat eine höhere Luftfeuchtigkeit als Serviceklasse 2.</t>
  </si>
  <si>
    <t>Lange Lasteinwirkungsdauer</t>
  </si>
  <si>
    <t>Mittlere Lasteinwirkungsdauer</t>
  </si>
  <si>
    <t>Kurze Lasteinwirkungsdauer</t>
  </si>
  <si>
    <t>Eigengewicht und ständige Lasten struktureller Art während des normalen Betriebs der Struktur.</t>
  </si>
  <si>
    <t>Ständige Lasten nicht-struktureller Art, die sich während des normalen Betriebs der Struktur ändern können, sowie variable Lasten bei Lagerräumen und Magazinen.</t>
  </si>
  <si>
    <t>Veränderliche Last bei Gebäuden, mit Ausnahme von Lagerräumen und Magazinen.</t>
  </si>
  <si>
    <t>Spitzenwinddruck und außergewöhnliche Lasten</t>
  </si>
  <si>
    <t>Charakteristischer Festigkeit des Hauptelements gegenüber Lochleibung</t>
  </si>
  <si>
    <t>Charakteristische axiale Tragfähigkeit der Schraube auf dem Hauptelement</t>
  </si>
  <si>
    <t>Charakteristische Tragfähigkeit je Scherfuge für die Hauptelementbefestigung</t>
  </si>
  <si>
    <t>Charakteristische Festigkeit des Hauptelements</t>
  </si>
  <si>
    <t>Charakteristische Festigkeit des Nebenelements gegenüber Lochleibung</t>
  </si>
  <si>
    <t>Charakteristische Tragfähigkeit je Scherfuge für die Nebenelementbefestigung</t>
  </si>
  <si>
    <t>Charakteristische Festigkeit des Nebenelements</t>
  </si>
  <si>
    <t>Charakteristische Festigkeit gegen Lochleibung</t>
  </si>
  <si>
    <t>Abhebende Kräfte</t>
  </si>
  <si>
    <t>Charakteristische Druckfestigkeit in paralleler Richtung zur Faser</t>
  </si>
  <si>
    <t>Anzahl der Grundmodule gemäß ETA-19/0831</t>
  </si>
  <si>
    <t>Die Bemessung und Dauerhaftigkeit der Holzelemente müssen getrennt durchgeführt werden. Insbesondere bei Lasten senkrecht zur Balkenachse wird empfohlen, einen Spaltnachweis in beiden Holzelementen durchzuführen.</t>
  </si>
  <si>
    <t>Wie in den Allgemeinen Geschäftsbedingungen angegeben, die der Benutzer beim Herunterladen der Kalkulationstabelle akzeptiert: die mit diesem Berechnungswerkzeug erzielten Ergebnisse haben indikativen Charakter und sind als technisch-kommerzielle Dienstleistung im Rahmen der Verkaufsaktivität von Rotho Blaas srl zu betrachten. Die Anzahl und Dicke der Einsätze muss vom verantwortlichen Konstrukteur bestimmt werden, der die Genauigkeit der Ergebnisse, die sich aus der Verarbeitung der eingegebenen Daten ergeben, überprüfen muss. Rotho Blaas srl garantiert nicht die Einhaltung der geltenden Gesetzgebung und die Auslegung der Berechnungen, die mit Hilfe dieses Arbeitsblattes durchgeführt werden. Insbesondere kann das Programm nach der Änderung der einschlägigen Bestimmungen, wie z.B. Normen, Zulassungen usw., ganz oder teilweise ungültig werden. Rotho Blaas srl übernimmt keine Garantie und ist nicht verantwortlich für direkte oder indirekte Schäden oder Konsequenzen oder anderweitiges (Mängelgewährleistung, Garantie für Fehlfunktionen, Produkt- oder Rechtsverantwortung usw.). Der Benutzer erklärt, das Kalkulationsprogramm als Fachmann zu benutzen, mit der Verpflichtung und Verantwortung, zu überprüfen, ob das Kalkulationsprogramm seinen spezifischen Bedürfnissen entspricht.</t>
  </si>
  <si>
    <t>Für Schrauben am Haupt- oder Nebenträger mit der charakteristischen Dichte ρk≤420 kg/ m3 ist keine Vorbohrung erforderlich. Für Haupt- oder Nebenträger mit der charakteristischen Dichte ρk&gt;420 kg/m3 ist eine Vorbohrung erforderlich. Bei Schrauben an der Stütze ist das Vorbohren immer obligatorisch.</t>
  </si>
  <si>
    <t>PROZENTSATZ DER VERBINDUNGSAUSLASTUNG</t>
  </si>
  <si>
    <t>6.1 vertikaler Scherwert (Fv)</t>
  </si>
  <si>
    <t>Charakteristische Scherfestigkeit für Rollschub</t>
  </si>
  <si>
    <t>Zur Befestigung von Schrauben an Holzelementen mit einer charakteristischen Dichte ρk&gt;420 kg/m3 ist ein Vorbohren vorgeschrieben.</t>
  </si>
  <si>
    <t>Bei hohen Winkeln sicherstellen, dass die Schrauben nicht geometrisch aus den Profilen herausragen.</t>
  </si>
  <si>
    <t>Verriegeln Sie den Kontaktbereich des LOCK T mit dem Zylinderkopf oder der Säule</t>
  </si>
  <si>
    <t>Schraubencode</t>
  </si>
  <si>
    <t>Durchschnittliche Windstärke.</t>
  </si>
  <si>
    <t>Kontinuierlich kontrollierte Produktion (VOC &lt; 15 %)</t>
  </si>
  <si>
    <t>Sicherheitskoeffizient der Verbindung</t>
  </si>
  <si>
    <t>Sicherheitskoeffizient Aluminium</t>
  </si>
  <si>
    <t>6. Projektnachweise je Richtung</t>
  </si>
  <si>
    <t>Charakteristische Festigkeit Aluminium</t>
  </si>
  <si>
    <t>Charakteristische axiale Tragfähigkeit der Schraube auf dem Nebenelement</t>
  </si>
  <si>
    <t>Design-Festigkeit</t>
  </si>
  <si>
    <t>Charakteristische axiale Tragfähigkeit der geneigten Schraube</t>
  </si>
  <si>
    <t>Charakteristischer Festigkeit gegen Lochleibung</t>
  </si>
  <si>
    <t>Charakteristische Tragkraft je Scherfuge zur Befestigung des Nebenelements</t>
  </si>
  <si>
    <t>Effektive Anzahl von Schrauben pro Neben- oder Hauptelement</t>
  </si>
  <si>
    <t>7. Konstruktionsprüfungen bei kombinierter Spannung</t>
  </si>
  <si>
    <t>Kombinierte Belastungsprüfung erforderlich?</t>
  </si>
  <si>
    <t>Wählen Sie die Spannungen aus, die im kombinierten Nachweis berücksichtigt werden sollen.</t>
  </si>
  <si>
    <t>8. Übersicht Menge und Produktcodes</t>
  </si>
  <si>
    <t>Erforderliche Menge</t>
  </si>
  <si>
    <t>Zweiter Verdeckter Verbinder, wenn gekoppelte Verbinder</t>
  </si>
  <si>
    <t>Rotho Blaas hat die Prüfungen gemäß Grenzzustandsmethode laut DIN EC 1995-1-1 Eurocode 5 - Bemessung und Konstruktion von Holzbauten vorgenommen. Bei den Werten für die mechanische Festigkeit und die Geometrie der LOCK und LOCK STOP Verbinder wurde auf die Angaben in der ETA-19/0831 Bezug genommen. Bei den Werten für die mechanische Festigkeit und die Geometrie der Schrauben wurde auf die Angaben in der ETA-11/0030 Bezug genommen.
Für die Berechnung der statischen Werte wurde eine konstante Stärke des Metallelements einschließlich der Stärke des LOCK STOP angenommen.
Die Festigkeit Fup mit geneigter Schraube wurde unter Berücksichtigung der axial belasteten wirksamen Schraubenanzahl nach ETA-11/0030 berechnet.
Bei der Ausführung der Ausfräsung im Hauptelement oder im Nebenträger ist besonders darauf zu achten, dass die seitliche Verschiebung der Verbindung begrenzt wird.
Die Festigkeit Flat mit geneigter Schraube wurde unter Berücksichtigung der parallel zur Faser angeordneten wirksamen Schraubenanzahl nach EN 1995-1-1 berechnet.
Wenn gekoppelte Verbinder verwendet werden, muss bei der Montage besonders auf die Ausrichtung geachtet werden, um unterschiedliche Beanspruchungen in den beiden Verbindern zu vermeiden.
Es muss immer eine vollständige Befestigung des Verbinders erfolgen, wobei alle Löcher genutzt werden müssen.
Eine Befestigung mit Teilausnagelung ist nicht zulässig. Für jede Verbindungshälfte müssen Schrauben mit gleicher Länge verwendet werden.
Beim Fräsen des Hauptelements oder des Sekundärbalkens ist beim Fräsen besonders darauf zu achten, dass die seitliche Gleitfähigkeit der Verbindung begrenzt wird.
Die Bemessung und Überprüfung der Holzelemente müssen getrennt durchgeführt werden. Alle Berechnungen müssen vor der Ausführung vom verantwortlichen Konstrukteur überprüft und genehmigt werden. Der verantwortliche Planer ist verpflichtet, bei jeder Nutzung die Übereinstimmung der Daten mit den geltenden Vorschriften und dem Projekt zu überprüfen. Die letztendliche Verantwortung für die Auswahl des geeigneten Produkts für eine bestimmte Anwendung liegt beim Planer.</t>
  </si>
  <si>
    <t>Acción de corte por elevación</t>
  </si>
  <si>
    <t>Densidad característica</t>
  </si>
  <si>
    <t>Resistencia característica al corte por laminado de fibra</t>
  </si>
  <si>
    <t>Para ángulos altos, compruebe que los tornillos no sobresalen geométricamente de las secciones.</t>
  </si>
  <si>
    <t>Número de módulos básicos ETA-19/0831</t>
  </si>
  <si>
    <t>Área de contacto entre el conector LOCK T y cabeza o pilar</t>
  </si>
  <si>
    <t>Tornillos inclinados para levantamiento y/o resistencia lateral</t>
  </si>
  <si>
    <t>Diámetro rosca</t>
  </si>
  <si>
    <t>Peso propio y cargas no removibles durante el funcionamiento normal de la estructura.</t>
  </si>
  <si>
    <t>Cargas variables de edificios, excepto las relativas a almacenes y depósitos.</t>
  </si>
  <si>
    <t>Producción controlada continuamente (VOC &lt;15%)</t>
  </si>
  <si>
    <t>6. Comprobaciones de diseño para direcciones individuales</t>
  </si>
  <si>
    <t>Resistencia característica al aplastamiento del elemento principal</t>
  </si>
  <si>
    <t>Resistencia característica al aplastamiento del elemento secundario</t>
  </si>
  <si>
    <t>Capacidad de carga característica para el plano de corte para la fijación del elemento secundario</t>
  </si>
  <si>
    <t>Resistencia característica al aplastamiento</t>
  </si>
  <si>
    <t>8. Resumen de cantidad y códigos de producto</t>
  </si>
  <si>
    <t>Como se especifica en las Condiciones Generales aceptadas por el usuario al descargar la hoja de cálculo: los resultados obtenidos con esta herramienta de cálculo son de carácter indicativo y deben ser considerados como un servicio técnico-comercial dentro de la actividad comercial de Rotho Blaas srl. El número y el espesor de las placas deben ser determinados por el proyectista responsable, que debe comprobar la exactitud de los resultados derivados del procesamiento de los datos introducidos. Rotho Blaas srl no garantiza el cumplimiento de la legislación vigente y el diseño de los cálculos realizados a través de esta hoja de cálculo. En particular, tras la modificación de las disposiciones pertinentes como, por ejemplo, normas, aprobaciones, etc. El programa puede resultar, en parte o en su totalidad, inválido. Rotho Blaas srl no garantiza y no será responsable de los daños o consecuencias directas o indirectas o de otro tipo, de cualquier manera (garantía por defectos, garantía por mal funcionamiento, responsabilidad legal o del producto, etc.). El usuario declara utilizar la hoja de cálculo como un profesional con la obligación y la responsabilidad de verificar que la hoja de cálculo satisface sus necesidades específicas.</t>
  </si>
  <si>
    <t>Para tornillos de fijación sobre el elemento principal y/o secundario, con densidad característica ρk≤420 kg/m3, el pre-agujero no es obligatorio. Para viga principal y/o secundaria con densidad característica ρk&gt;420 kg/m3, el pre-agujero es obligatorio. Para tornillos en pilares, el pre-agujero siempre es obligatorio.</t>
  </si>
  <si>
    <t xml:space="preserve">Clase de resistencia de la madera </t>
  </si>
  <si>
    <t>Se caracteriza por una humedad del material en equilibrio con el ambiente a una temperatura de 20°C y una humedad relativa del aire circundante que no supera el 65%, si no durante unas semanas al año.</t>
  </si>
  <si>
    <t>Se caracteriza por una humedad del material en equilibrio con el ambiente a una temperatura de 20°C y una humedad relativa del aire circundante de más del 85% durante solo unas semanas al año.</t>
  </si>
  <si>
    <t>Tiene una humedad más alta que la clase de servicio 2.</t>
  </si>
  <si>
    <t>Cargas permanentes que pueden cambiar durante el funcionamiento normal de la estructura y cargas variables relacionadas con almacenes y depósitos.</t>
  </si>
  <si>
    <t>Acción media del viento</t>
  </si>
  <si>
    <t>El dimensionamiento y la vida útil de los elementos de madera deben efectuarse por separado. En concreto, para cargas perpendiculares al eje de las vigas, se aconseja realizar una comprobación por separado de ambos elementos de madera.</t>
  </si>
  <si>
    <t>Capacidad de carga característica para el plano de corte para la fijación del elemento principal</t>
  </si>
  <si>
    <t>7. Comprobaciones de diseño en caso de cargas combinadas</t>
  </si>
  <si>
    <t>¿Es necesaria la comprobación de cargas combinadas?</t>
  </si>
  <si>
    <t>Fv,d y Fup,d son fuerzas que actúan en direcciones opuestas. Por lo tanto, solo una de las fuerzas Fv,d y Fup,d puede actuar en combinación con las fuerzas Fax,d o Flat,d.</t>
  </si>
  <si>
    <t>Seleccione las tensiones que se deben tener en cuenta en la comprobación combinada.</t>
  </si>
  <si>
    <t>Rotho Blaas ha efectuado las comprobaciones según el método de los estados límite de acuerdo con la norma EC 1995-1-1 Eurocódigo 5 - Diseño de estructuras de madera. Para los valores de resistencia mecánica y para la geometría de los conectores LOCK y LOCK STOP se han tomado como referencia las indicaciones de ETA-19/0831. Para los valores de resistencia mecánica y para la geometría de los tornillos se han tomado como referencia las indicaciones de ETA-11/0030.
Los valores estáticos se han calculado suponiendo un espesor constante del elemento de metal e incluyendo el espesor del LOCK STOP.
La resistencia Fup con tornillo inclinado se ha calculado considerando el número eficaz de tornillos cargados axialmente según ETA-11/ 0030.
Se debe prestar especial atención a la ejecución del fresado en el elemento principal o en la viga secundaria para limitar el deslizamiento lateral de la conexión.
La resistencia Flat con tornillo inclinado se ha calculado considerando el número eficaz de tornillos dispuestos paralelamente a la fibra según EN 1995-1-1.
Si se usan conectores en pares, se tiene que prestar una especial atención a su alineación durante la colocación para evitar que las solicitaciones sean diferentes en los dos conectores.
Se debe efectuar siempre una fijación total del conector, utilizando todos los agujeros.
No se admiten fijaciones con clavado parcial. Para cada mitad de conector, se deben utilizar tornillos de la misma longitud.
En el caso de fresado en el elemento principal o en la viga secundaria, se debe tener especial cuidado al realizar el fresado para limitar el deslizamiento lateral de la conexión.
El dimensionamiento y el control de los elementos de madera deben efectuarse por separado. Todos los cálculos deben ser verificados y aprobados por el diseñador responsable antes de su ejecución. Es deber del proyectista responsable comprobar en cada uso que los datos sean conformes con la normativa vigente y con el proyecto. La responsabilidad final de elegir el producto adecuado para una aplicación específica recae en el proyectista.</t>
  </si>
  <si>
    <t>El diseño de los elementos de madera debe realizarse por separado por parte del calculista.</t>
  </si>
  <si>
    <r>
      <rPr>
        <sz val="10"/>
        <color theme="1"/>
        <rFont val="Verdana"/>
        <family val="2"/>
      </rPr>
      <t>Resistência característica ao corte para laminação de fibra</t>
    </r>
  </si>
  <si>
    <r>
      <rPr>
        <sz val="10"/>
        <color theme="1"/>
        <rFont val="Verdana"/>
        <family val="2"/>
      </rPr>
      <t>Para ângulos elevados, verifique se os parafusos não se sobressaem geometricamente das secções.</t>
    </r>
  </si>
  <si>
    <r>
      <rPr>
        <sz val="10"/>
        <color theme="1"/>
        <rFont val="Verdana"/>
        <family val="2"/>
      </rPr>
      <t>Os conetores acoplados devem ser iguais em altura!</t>
    </r>
  </si>
  <si>
    <r>
      <rPr>
        <sz val="10"/>
        <color theme="1"/>
        <rFont val="Verdana"/>
        <family val="2"/>
      </rPr>
      <t>Número de módulos básicos ETA-19/0831</t>
    </r>
  </si>
  <si>
    <r>
      <rPr>
        <sz val="10"/>
        <color theme="1"/>
        <rFont val="Verdana"/>
        <family val="2"/>
      </rPr>
      <t>Bloqueie a área de contacto do conetor em T com a cabeça do motor ou a coluna</t>
    </r>
  </si>
  <si>
    <r>
      <rPr>
        <sz val="10"/>
        <color theme="1"/>
        <rFont val="Verdana"/>
        <family val="2"/>
      </rPr>
      <t>Caracteriza-se por uma humidade do material em equilíbrio com o ambiente a uma temperatura de 20 ºC e uma humidade relativa do ar circundante superior a 85% durante apenas algumas semanas por ano.</t>
    </r>
  </si>
  <si>
    <r>
      <rPr>
        <sz val="10"/>
        <color theme="1"/>
        <rFont val="Verdana"/>
        <family val="2"/>
      </rPr>
      <t>Tem uma umidade mais alta do que a classe de serviço 2.</t>
    </r>
  </si>
  <si>
    <r>
      <rPr>
        <sz val="10"/>
        <color theme="1"/>
        <rFont val="Verdana"/>
        <family val="2"/>
      </rPr>
      <t>Peso próprio e cargas não removíveis durante o funcionamento normal da estrutura.</t>
    </r>
  </si>
  <si>
    <r>
      <rPr>
        <sz val="10"/>
        <color theme="1"/>
        <rFont val="Verdana"/>
        <family val="2"/>
      </rPr>
      <t>Cargas permanentes que podem mudar durante o funcionamento normal da estrutura e cargas variáveis relacionadas com armazéns e depósitos.</t>
    </r>
  </si>
  <si>
    <r>
      <rPr>
        <sz val="10"/>
        <color theme="1"/>
        <rFont val="Verdana"/>
        <family val="2"/>
      </rPr>
      <t>Cargas variáveis de edifícios, exceto as relativas a armazéns e depósitos.</t>
    </r>
  </si>
  <si>
    <r>
      <rPr>
        <sz val="10"/>
        <color theme="1"/>
        <rFont val="Verdana"/>
        <family val="2"/>
      </rPr>
      <t>Ação média do vento.</t>
    </r>
  </si>
  <si>
    <r>
      <rPr>
        <sz val="10"/>
        <color theme="1"/>
        <rFont val="Verdana"/>
        <family val="2"/>
      </rPr>
      <t>Ação de vento de pico e ação incrível.</t>
    </r>
  </si>
  <si>
    <r>
      <rPr>
        <sz val="10"/>
        <color theme="1"/>
        <rFont val="Verdana"/>
        <family val="2"/>
      </rPr>
      <t>Produção controlada continuamente (VOC inferior a 15%)</t>
    </r>
  </si>
  <si>
    <r>
      <t xml:space="preserve">6. </t>
    </r>
    <r>
      <rPr>
        <sz val="10"/>
        <color theme="1"/>
        <rFont val="Verdana"/>
        <family val="2"/>
      </rPr>
      <t>Verificações de projeto para direção individual</t>
    </r>
  </si>
  <si>
    <r>
      <t xml:space="preserve">7. </t>
    </r>
    <r>
      <rPr>
        <sz val="10"/>
        <color theme="1"/>
        <rFont val="Verdana"/>
        <family val="2"/>
      </rPr>
      <t>Verificações de projeto em caso de estresse combinado</t>
    </r>
  </si>
  <si>
    <r>
      <rPr>
        <sz val="10"/>
        <color theme="1"/>
        <rFont val="Verdana"/>
        <family val="2"/>
      </rPr>
      <t>Verificação combinada de esforço necessária?</t>
    </r>
  </si>
  <si>
    <r>
      <rPr>
        <sz val="10"/>
        <color theme="1"/>
        <rFont val="Verdana"/>
        <family val="2"/>
      </rPr>
      <t>Selecione as tensões a considerar no veículo combinado.</t>
    </r>
  </si>
  <si>
    <r>
      <t xml:space="preserve">A Rotho Blaas efetuou as verificações segundo o método dos Estados-Limite em conformidade com a EC 1995-1-1 Eurocódigo 5 - Conceção de estruturas de madeira. Para os valores de resistência mecânica e para a geometria dos conectores LOCK e LOCK STOP, fez-se referência ao que consta da ETA-19/0831. Para os valores de resistência mecânica e para a geometria dos parafusos, fez-se referência ao que consta da ETA-11/0030.
Os valores estáticos foram calculados considerando uma espessura constante do elemento metálico, incluindo a espessura do LOCK STOP.
A resistência Fup com parafuso inclinado foi calculado considerando o número efetivo de parafusos carregados axialmente de acordo com a ETA-11/0030.
Deve ser dada especial atenção à execução da fresagem no elemento principal ou na viga secundária para limitar o deslizamento lateral da ligação.
A resistência Flat com o parafuso inclinado foi calculada considerando o número efetivo de parafusos dispostos paralelamente à fibra de acordo com a EN 1995-1-1.
Se forem utilizados conectores acoplados, deve ser prestada especial atenção ao alinhamento durante a colocação, para evitar tensões diferentes nos dois conectores.
O conector deve ser sempre totalmente fixo, utilizando todos os furos.
Não é permitida a fixação com pregagem parcial. Devem ser utilizados parafusos do mesmo comprimentos em cada metade do conector.
</t>
    </r>
    <r>
      <rPr>
        <sz val="10"/>
        <color theme="1"/>
        <rFont val="Verdana"/>
        <family val="2"/>
      </rPr>
      <t>No caso da fresagem no elemento principal ou na viga secundária, deve ter-se especial cuidado ao efetuar a fresagem, de modo a limitar o deslizamento lateral da ligação.
A dimensão e a verificação dos elementos de madeira devem ser feitas à parte. Todos os cálculos devem ser verificados e aprovados pelo designer responsável antes da execução. É dever do projetista responsável verificar em cada utilização a conformidade dos dados com as normas em vigor e com o projeto. A responsabilidade final pela escolha do produto adequado para uma aplicação específica cabe ao projetista.</t>
    </r>
  </si>
  <si>
    <t>Type of timber</t>
  </si>
  <si>
    <t>Timber strength class</t>
  </si>
  <si>
    <t>For screws on column, pre-drilling is mandatory.</t>
  </si>
  <si>
    <t>Per le viti su pilastro è obbligatorio il preforo.</t>
  </si>
  <si>
    <t>Résistance caractéristique au cisaillement roulant (perpendiculaire à la fibre)</t>
  </si>
  <si>
    <t>Nombre de modules de base selon ETA-19/0831</t>
  </si>
  <si>
    <t>Le dimensionnement et la capacité des éléments en bois seront effectués séparément. En particulier, pour des charges perpendiculaires à l’axe des poutres, il est conseillé d’effectuer un contrôle séparé sur les deux éléments en bois.</t>
  </si>
  <si>
    <t>Capacité de charge caractéristique par plan de cisaillement pour la fixation de l'élément principal</t>
  </si>
  <si>
    <t>Capacité de charge caractéristique par plan de cisaillement pour la fixation de l'élément secondaire</t>
  </si>
  <si>
    <t>Résistance caractéristique à la contrainte portante</t>
  </si>
  <si>
    <t>Les indications fournies dans cet outil de calcul sont à titre indicatif. Cependant, toute responsabilité sur le projet (calcul) de connexion retombe sur le concepteur</t>
  </si>
  <si>
    <t xml:space="preserve"> VÉRIFIÉ</t>
  </si>
  <si>
    <t>LBS EVO</t>
  </si>
  <si>
    <t>LBSEVO550</t>
  </si>
  <si>
    <t>LBSEVO560</t>
  </si>
  <si>
    <t>LBSEVO570</t>
  </si>
  <si>
    <t>LBSEVO780</t>
  </si>
  <si>
    <t>LBSEVO7100</t>
  </si>
  <si>
    <t>LBS EVO Ø 5 x 50</t>
  </si>
  <si>
    <t>LBS EVO Ø 5 x 60</t>
  </si>
  <si>
    <t>LBS EVO Ø 5 x 70</t>
  </si>
  <si>
    <t>LBS EVO Ø 7 x 80</t>
  </si>
  <si>
    <t>LBS EVO Ø 7 x 100</t>
  </si>
  <si>
    <t>!!!</t>
  </si>
  <si>
    <t>Selezionare le sollecitazioni da inserire considerare nella verifica combinata.</t>
  </si>
  <si>
    <t>2. Combinazioni</t>
  </si>
  <si>
    <t>2. Combinations</t>
  </si>
  <si>
    <t>2. Kombinationen</t>
  </si>
  <si>
    <t>2. Combinaisons</t>
  </si>
  <si>
    <t>2. Combinaciones</t>
  </si>
  <si>
    <t>2. Combinações</t>
  </si>
  <si>
    <t xml:space="preserve">3. Sollecitazioni di progetto </t>
  </si>
  <si>
    <t xml:space="preserve">3. Design shear strength </t>
  </si>
  <si>
    <t xml:space="preserve">3. Bemessungsspannung </t>
  </si>
  <si>
    <t xml:space="preserve">3. Sollicitations du projet </t>
  </si>
  <si>
    <t xml:space="preserve">3. Solicitaciones de proyecto </t>
  </si>
  <si>
    <t xml:space="preserve">3. Tensão de projeto </t>
  </si>
  <si>
    <t>4. Elementi in legno</t>
  </si>
  <si>
    <t>4. Timber element</t>
  </si>
  <si>
    <t>4. Holzelemente</t>
  </si>
  <si>
    <t>4. Éléments en bois</t>
  </si>
  <si>
    <t>4. Elementos de madera</t>
  </si>
  <si>
    <t>4. Elementos de madeira</t>
  </si>
  <si>
    <t>4.1 Elemento Primario</t>
  </si>
  <si>
    <t>4.1 Main element</t>
  </si>
  <si>
    <t>4.1 Hauptelement</t>
  </si>
  <si>
    <t>4.1 Élément principal</t>
  </si>
  <si>
    <t>4.1 Elemento principal</t>
  </si>
  <si>
    <t>4.2 Elemento secondario</t>
  </si>
  <si>
    <t>4.2 Secondary element</t>
  </si>
  <si>
    <t>4.2 Nebenelement</t>
  </si>
  <si>
    <t>4.2 Élément secondaire</t>
  </si>
  <si>
    <t>4.2 Elemento secundario</t>
  </si>
  <si>
    <t>4.2 Elemento secundária</t>
  </si>
  <si>
    <t>5. Scelta del connettore e delle viti</t>
  </si>
  <si>
    <t>5. Choice of connector and screws</t>
  </si>
  <si>
    <t>5. Auswahl des Verbinders und der Schrauben</t>
  </si>
  <si>
    <t>5. Choix du connecteur et des vis</t>
  </si>
  <si>
    <t>5. Elección del conector y de los tornillos</t>
  </si>
  <si>
    <t>5. Escolha do conector e dos parafusos</t>
  </si>
  <si>
    <t>Dimensioni minime</t>
  </si>
  <si>
    <t>elemento principale</t>
  </si>
  <si>
    <t>trave</t>
  </si>
  <si>
    <t>pilastro</t>
  </si>
  <si>
    <t>elemento secondario</t>
  </si>
  <si>
    <t>con preforo</t>
  </si>
  <si>
    <t>senza preforo</t>
  </si>
  <si>
    <t>h</t>
  </si>
  <si>
    <t>p</t>
  </si>
  <si>
    <r>
      <t>F</t>
    </r>
    <r>
      <rPr>
        <b/>
        <vertAlign val="subscript"/>
        <sz val="11"/>
        <color theme="1"/>
        <rFont val="Verdana"/>
        <family val="2"/>
      </rPr>
      <t>v,Ed</t>
    </r>
  </si>
  <si>
    <r>
      <t>F</t>
    </r>
    <r>
      <rPr>
        <b/>
        <vertAlign val="subscript"/>
        <sz val="11"/>
        <color theme="1"/>
        <rFont val="Verdana"/>
        <family val="2"/>
      </rPr>
      <t>up,Ed</t>
    </r>
  </si>
  <si>
    <r>
      <t>F</t>
    </r>
    <r>
      <rPr>
        <b/>
        <vertAlign val="subscript"/>
        <sz val="11"/>
        <color theme="1"/>
        <rFont val="Verdana"/>
        <family val="2"/>
      </rPr>
      <t>ax,Ed</t>
    </r>
  </si>
  <si>
    <r>
      <t>F</t>
    </r>
    <r>
      <rPr>
        <b/>
        <vertAlign val="subscript"/>
        <sz val="11"/>
        <color theme="1"/>
        <rFont val="Verdana"/>
        <family val="2"/>
      </rPr>
      <t>lat,Ed</t>
    </r>
  </si>
  <si>
    <r>
      <t>F</t>
    </r>
    <r>
      <rPr>
        <vertAlign val="subscript"/>
        <sz val="11"/>
        <color theme="1"/>
        <rFont val="Verdana"/>
        <family val="2"/>
      </rPr>
      <t>v,Ed</t>
    </r>
  </si>
  <si>
    <r>
      <t>F</t>
    </r>
    <r>
      <rPr>
        <vertAlign val="subscript"/>
        <sz val="11"/>
        <color theme="1"/>
        <rFont val="Verdana"/>
        <family val="2"/>
      </rPr>
      <t>up,Ed</t>
    </r>
  </si>
  <si>
    <r>
      <t>F</t>
    </r>
    <r>
      <rPr>
        <vertAlign val="subscript"/>
        <sz val="11"/>
        <color theme="1"/>
        <rFont val="Verdana"/>
        <family val="2"/>
      </rPr>
      <t>ax,Ed</t>
    </r>
  </si>
  <si>
    <r>
      <t>F</t>
    </r>
    <r>
      <rPr>
        <vertAlign val="subscript"/>
        <sz val="11"/>
        <color theme="1"/>
        <rFont val="Verdana"/>
        <family val="2"/>
      </rPr>
      <t>lat,Ed</t>
    </r>
  </si>
  <si>
    <r>
      <t>F</t>
    </r>
    <r>
      <rPr>
        <vertAlign val="subscript"/>
        <sz val="11"/>
        <color theme="1"/>
        <rFont val="Verdana"/>
        <family val="2"/>
      </rPr>
      <t>45,Rd</t>
    </r>
    <r>
      <rPr>
        <sz val="11"/>
        <color theme="1"/>
        <rFont val="Verdana"/>
        <family val="2"/>
      </rPr>
      <t xml:space="preserve">
(kN)</t>
    </r>
  </si>
  <si>
    <t>LBS Ø 7 x 80</t>
  </si>
  <si>
    <t>2 x LOCKSTOP100</t>
  </si>
  <si>
    <t>Fresata per alloggio connettore  Sf=20 mm</t>
  </si>
  <si>
    <t>Milling for connector housing Sf=20 mm</t>
  </si>
  <si>
    <t>Fräsen für Steckergehäuse Sf=20 mm</t>
  </si>
  <si>
    <t>Fraisage pour le boîtier du connecteur Sf=20 mm</t>
  </si>
  <si>
    <t>Fresado para carcasa de conector Sf=20 mm</t>
  </si>
  <si>
    <t>Fresagem para caixa de conectores Sf=20 mm</t>
  </si>
  <si>
    <t>n. connettori</t>
  </si>
  <si>
    <t>configurazione</t>
  </si>
  <si>
    <t>evo</t>
  </si>
  <si>
    <t>LBS Ø 5 x 60</t>
  </si>
  <si>
    <t>LOCK_CALCULATOR v. 1.03</t>
  </si>
  <si>
    <t>Language</t>
  </si>
  <si>
    <t>1. SUBJECT</t>
  </si>
  <si>
    <t>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t>
  </si>
  <si>
    <t>2. TECHNICAL-STANDARDS REFERENCES</t>
  </si>
  <si>
    <t>3. RB RIGHTS AND OBLIGATIONS</t>
  </si>
  <si>
    <t>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t>
  </si>
  <si>
    <t>4. USER RIGHTS AND OBLIGATIONS</t>
  </si>
  <si>
    <t>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t>
  </si>
  <si>
    <t>5. COPYRIGHTS</t>
  </si>
  <si>
    <t>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t>
  </si>
  <si>
    <t>6. DURATION, WITHDRAWAL AND TERMINATION</t>
  </si>
  <si>
    <t>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t>
  </si>
  <si>
    <t>7. RESPONSIBILITY</t>
  </si>
  <si>
    <t>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t>
  </si>
  <si>
    <t>8. REFUND</t>
  </si>
  <si>
    <t>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t>
  </si>
  <si>
    <t>9. MISCELLANEOUS</t>
  </si>
  <si>
    <t>These general conditions constitute the entire agreement between RB and the user regarding the subject matter and replace all previous, oral or written agreements, as well as any agreements between RB and the user.</t>
  </si>
  <si>
    <t>10. LANGUAGE</t>
  </si>
  <si>
    <t>In the event of differences between versions of these conditions in the various languages, the English text is binding and takes precedence with respect to the translations.</t>
  </si>
  <si>
    <t>11. APPLICABLE LAW AND COURT OF JURISDICTION</t>
  </si>
  <si>
    <t>This agreement and any relationship between the parties is governed exclusively by the Italian law. 
Any dispute that may arise between the parties in relation to this agreement, that cannot be resolved amicably, shall be brought before the court of Bolzano.</t>
  </si>
  <si>
    <t>12. PRIVACY</t>
  </si>
  <si>
    <t>Refer to the privacy policy available at the link:</t>
  </si>
  <si>
    <t>https://www.rothoblaas.com/privacy-policy</t>
  </si>
  <si>
    <t>ACCEPT</t>
  </si>
  <si>
    <t>LOCK_CALCULATOR
v1.03</t>
  </si>
  <si>
    <t>LOCK CALCULATOR</t>
  </si>
  <si>
    <t>GENERAL TERMS AND CONDITIONS OF THE LICENSE AGREEMENT FOR THE USE OF THE SPREADSHEET "LOCK_CALCULATOR_v1.03"</t>
  </si>
  <si>
    <t>RB carried out the checks according to the Limit State method in accordance with EN 1995-1-1 Eurocode 5 - Design of timber structures and EN 1999-1-1 Eurocode 9 - Design of aluminium structures. For the mechanical resistance values and the geometry of the connectors, reference was made to ETA-19/0831.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</si>
</sst>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50" x14ac:knownFonts="1">
    <font>
      <sz val="10"/>
      <color theme="1"/>
      <name val="Verdana"/>
      <family val="2"/>
    </font>
    <font>
      <vertAlign val="subscript"/>
      <sz val="10"/>
      <color theme="1"/>
      <name val="Verdana"/>
      <family val="2"/>
    </font>
    <font>
      <vertAlign val="superscript"/>
      <sz val="10"/>
      <color theme="1"/>
      <name val="Verdana"/>
      <family val="2"/>
    </font>
    <font>
      <sz val="11"/>
      <color theme="1"/>
      <name val="Calibri"/>
      <family val="2"/>
      <scheme val="minor"/>
    </font>
    <font>
      <sz val="11"/>
      <color theme="1"/>
      <name val="Verdana"/>
      <family val="2"/>
    </font>
    <font>
      <b/>
      <sz val="12"/>
      <color theme="1"/>
      <name val="Verdana"/>
      <family val="2"/>
    </font>
    <font>
      <vertAlign val="subscript"/>
      <sz val="11"/>
      <color theme="1"/>
      <name val="Verdana"/>
      <family val="2"/>
    </font>
    <font>
      <sz val="20"/>
      <color theme="1"/>
      <name val="Verdana"/>
      <family val="2"/>
    </font>
    <font>
      <vertAlign val="superscript"/>
      <sz val="11"/>
      <color theme="1"/>
      <name val="Verdana"/>
      <family val="2"/>
    </font>
    <font>
      <b/>
      <sz val="10"/>
      <color theme="1"/>
      <name val="Verdana"/>
      <family val="2"/>
    </font>
    <font>
      <b/>
      <vertAlign val="subscript"/>
      <sz val="10"/>
      <color theme="1"/>
      <name val="Verdana"/>
      <family val="2"/>
    </font>
    <font>
      <b/>
      <u/>
      <sz val="12"/>
      <color theme="1"/>
      <name val="Verdana"/>
      <family val="2"/>
    </font>
    <font>
      <sz val="12"/>
      <color theme="1"/>
      <name val="Verdana"/>
      <family val="2"/>
    </font>
    <font>
      <b/>
      <sz val="11"/>
      <color theme="4"/>
      <name val="Verdana"/>
      <family val="2"/>
    </font>
    <font>
      <sz val="8"/>
      <name val="Verdana"/>
      <family val="2"/>
    </font>
    <font>
      <sz val="11"/>
      <name val="Verdana"/>
      <family val="2"/>
    </font>
    <font>
      <sz val="10"/>
      <name val="Verdana"/>
      <family val="2"/>
    </font>
    <font>
      <sz val="10"/>
      <color theme="1"/>
      <name val="Verdana"/>
      <family val="2"/>
    </font>
    <font>
      <b/>
      <i/>
      <sz val="11"/>
      <name val="Verdana"/>
      <family val="2"/>
    </font>
    <font>
      <strike/>
      <sz val="10"/>
      <color theme="1"/>
      <name val="Verdana"/>
      <family val="2"/>
    </font>
    <font>
      <b/>
      <sz val="10"/>
      <color rgb="FF0070C0"/>
      <name val="Verdana"/>
      <family val="2"/>
    </font>
    <font>
      <b/>
      <sz val="11"/>
      <color theme="1"/>
      <name val="Verdana"/>
      <family val="2"/>
    </font>
    <font>
      <b/>
      <vertAlign val="subscript"/>
      <sz val="11"/>
      <color theme="1"/>
      <name val="Verdana"/>
      <family val="2"/>
    </font>
    <font>
      <b/>
      <sz val="13"/>
      <color theme="1"/>
      <name val="Verdana"/>
      <family val="2"/>
    </font>
    <font>
      <b/>
      <sz val="11"/>
      <name val="Verdana"/>
      <family val="2"/>
    </font>
    <font>
      <sz val="9"/>
      <color theme="0"/>
      <name val="Verdana"/>
      <family val="2"/>
    </font>
    <font>
      <b/>
      <sz val="14"/>
      <name val="Verdana"/>
      <family val="2"/>
    </font>
    <font>
      <b/>
      <sz val="11"/>
      <color theme="0"/>
      <name val="Verdana"/>
      <family val="2"/>
    </font>
    <font>
      <sz val="11"/>
      <color theme="0"/>
      <name val="Verdana"/>
      <family val="2"/>
    </font>
    <font>
      <sz val="11"/>
      <color rgb="FFFF0000"/>
      <name val="Verdana"/>
      <family val="2"/>
    </font>
    <font>
      <b/>
      <vertAlign val="subscript"/>
      <sz val="9"/>
      <name val="Verdana"/>
      <family val="2"/>
    </font>
    <font>
      <b/>
      <vertAlign val="superscript"/>
      <sz val="10"/>
      <name val="Verdana"/>
      <family val="2"/>
    </font>
    <font>
      <b/>
      <sz val="13"/>
      <name val="Verdana"/>
      <family val="2"/>
    </font>
    <font>
      <sz val="11"/>
      <color rgb="FFFFFF00"/>
      <name val="Verdana"/>
      <family val="2"/>
    </font>
    <font>
      <b/>
      <sz val="11"/>
      <color rgb="FFFFFF00"/>
      <name val="Verdana"/>
      <family val="2"/>
    </font>
    <font>
      <sz val="11"/>
      <color theme="4"/>
      <name val="Verdana"/>
      <family val="2"/>
    </font>
    <font>
      <vertAlign val="superscript"/>
      <sz val="10"/>
      <name val="Verdana"/>
      <family val="2"/>
    </font>
    <font>
      <i/>
      <sz val="11"/>
      <color theme="0"/>
      <name val="Verdana"/>
      <family val="2"/>
    </font>
    <font>
      <i/>
      <sz val="11"/>
      <color theme="1"/>
      <name val="Verdana"/>
      <family val="2"/>
    </font>
    <font>
      <i/>
      <sz val="11"/>
      <color theme="0" tint="-0.499984740745262"/>
      <name val="Verdana"/>
      <family val="2"/>
    </font>
    <font>
      <b/>
      <sz val="12"/>
      <color theme="4"/>
      <name val="Verdana"/>
      <family val="2"/>
    </font>
    <font>
      <sz val="10"/>
      <color rgb="FF000000"/>
      <name val="Verdana"/>
      <family val="2"/>
    </font>
    <font>
      <sz val="10"/>
      <color rgb="FFFF0000"/>
      <name val="Verdana"/>
      <family val="2"/>
    </font>
    <font>
      <sz val="13"/>
      <color theme="1"/>
      <name val="Verdana"/>
      <family val="2"/>
    </font>
    <font>
      <sz val="10"/>
      <color theme="0"/>
      <name val="Verdana"/>
      <family val="2"/>
    </font>
    <font>
      <u/>
      <sz val="10"/>
      <color theme="10"/>
      <name val="Verdana"/>
      <family val="2"/>
    </font>
    <font>
      <b/>
      <sz val="10"/>
      <name val="Verdana"/>
      <family val="2"/>
    </font>
    <font>
      <b/>
      <sz val="13"/>
      <color theme="0"/>
      <name val="Verdana"/>
      <family val="2"/>
    </font>
    <font>
      <b/>
      <sz val="14"/>
      <color theme="0"/>
      <name val="Verdana"/>
      <family val="2"/>
    </font>
    <font>
      <b/>
      <u/>
      <sz val="14"/>
      <color theme="0"/>
      <name val="Verdana"/>
      <family val="2"/>
    </font>
  </fonts>
  <fills count="2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EAEAEA"/>
        <bgColor indexed="64"/>
      </patternFill>
    </fill>
    <fill>
      <patternFill patternType="solid">
        <fgColor rgb="FF92D050"/>
        <bgColor indexed="64"/>
      </patternFill>
    </fill>
    <fill>
      <patternFill patternType="solid">
        <fgColor rgb="FF00B050"/>
        <bgColor indexed="64"/>
      </patternFill>
    </fill>
  </fills>
  <borders count="85">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right style="medium">
        <color indexed="64"/>
      </right>
      <top/>
      <bottom/>
      <diagonal/>
    </border>
    <border>
      <left style="medium">
        <color indexed="64"/>
      </left>
      <right/>
      <top/>
      <bottom/>
      <diagonal/>
    </border>
    <border>
      <left/>
      <right/>
      <top style="medium">
        <color theme="4"/>
      </top>
      <bottom/>
      <diagonal/>
    </border>
    <border>
      <left/>
      <right/>
      <top/>
      <bottom style="medium">
        <color theme="4"/>
      </bottom>
      <diagonal/>
    </border>
    <border>
      <left style="thin">
        <color theme="4"/>
      </left>
      <right style="thin">
        <color theme="4"/>
      </right>
      <top style="thin">
        <color theme="4"/>
      </top>
      <bottom style="thin">
        <color theme="4"/>
      </bottom>
      <diagonal/>
    </border>
    <border>
      <left/>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style="hair">
        <color auto="1"/>
      </top>
      <bottom/>
      <diagonal/>
    </border>
    <border>
      <left style="thin">
        <color theme="4"/>
      </left>
      <right/>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theme="4"/>
      </left>
      <right style="medium">
        <color indexed="64"/>
      </right>
      <top style="thin">
        <color theme="4"/>
      </top>
      <bottom style="thin">
        <color theme="4"/>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style="medium">
        <color theme="4"/>
      </left>
      <right/>
      <top style="medium">
        <color theme="4"/>
      </top>
      <bottom style="hair">
        <color theme="4"/>
      </bottom>
      <diagonal/>
    </border>
    <border>
      <left/>
      <right/>
      <top style="medium">
        <color theme="4"/>
      </top>
      <bottom style="hair">
        <color theme="4"/>
      </bottom>
      <diagonal/>
    </border>
    <border>
      <left/>
      <right style="medium">
        <color theme="4"/>
      </right>
      <top style="medium">
        <color theme="4"/>
      </top>
      <bottom style="hair">
        <color theme="4"/>
      </bottom>
      <diagonal/>
    </border>
    <border>
      <left style="medium">
        <color theme="4"/>
      </left>
      <right/>
      <top style="hair">
        <color theme="4"/>
      </top>
      <bottom style="hair">
        <color theme="4"/>
      </bottom>
      <diagonal/>
    </border>
    <border>
      <left/>
      <right/>
      <top style="hair">
        <color theme="4"/>
      </top>
      <bottom style="hair">
        <color theme="4"/>
      </bottom>
      <diagonal/>
    </border>
    <border>
      <left/>
      <right style="medium">
        <color theme="4"/>
      </right>
      <top style="hair">
        <color theme="4"/>
      </top>
      <bottom style="hair">
        <color theme="4"/>
      </bottom>
      <diagonal/>
    </border>
    <border>
      <left style="medium">
        <color theme="4"/>
      </left>
      <right/>
      <top/>
      <bottom style="hair">
        <color theme="4"/>
      </bottom>
      <diagonal/>
    </border>
    <border>
      <left/>
      <right/>
      <top/>
      <bottom style="hair">
        <color theme="4"/>
      </bottom>
      <diagonal/>
    </border>
    <border>
      <left/>
      <right style="medium">
        <color theme="4"/>
      </right>
      <top/>
      <bottom style="hair">
        <color theme="4"/>
      </bottom>
      <diagonal/>
    </border>
    <border>
      <left style="hair">
        <color theme="4"/>
      </left>
      <right/>
      <top style="medium">
        <color theme="4"/>
      </top>
      <bottom style="hair">
        <color theme="4"/>
      </bottom>
      <diagonal/>
    </border>
    <border>
      <left style="hair">
        <color theme="4"/>
      </left>
      <right/>
      <top style="hair">
        <color theme="4"/>
      </top>
      <bottom style="hair">
        <color theme="4"/>
      </bottom>
      <diagonal/>
    </border>
    <border>
      <left style="hair">
        <color theme="4"/>
      </left>
      <right/>
      <top/>
      <bottom style="hair">
        <color theme="4"/>
      </bottom>
      <diagonal/>
    </border>
    <border>
      <left style="hair">
        <color theme="4"/>
      </left>
      <right/>
      <top/>
      <bottom/>
      <diagonal/>
    </border>
    <border>
      <left style="hair">
        <color theme="4"/>
      </left>
      <right/>
      <top/>
      <bottom style="medium">
        <color theme="4"/>
      </bottom>
      <diagonal/>
    </border>
    <border>
      <left/>
      <right style="thin">
        <color indexed="64"/>
      </right>
      <top style="thin">
        <color indexed="64"/>
      </top>
      <bottom/>
      <diagonal/>
    </border>
  </borders>
  <cellStyleXfs count="4">
    <xf numFmtId="0" fontId="0" fillId="0" borderId="0"/>
    <xf numFmtId="0" fontId="3" fillId="0" borderId="0"/>
    <xf numFmtId="9" fontId="17" fillId="0" borderId="0" applyFont="0" applyFill="0" applyBorder="0" applyAlignment="0" applyProtection="0"/>
    <xf numFmtId="0" fontId="45" fillId="0" borderId="0" applyNumberFormat="0" applyFill="0" applyBorder="0" applyAlignment="0" applyProtection="0"/>
  </cellStyleXfs>
  <cellXfs count="454">
    <xf numFmtId="0" fontId="0" fillId="0" borderId="0" xfId="0"/>
    <xf numFmtId="0" fontId="0" fillId="0" borderId="7" xfId="0"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0" fillId="3" borderId="5" xfId="0" applyFill="1" applyBorder="1" applyAlignment="1">
      <alignment horizontal="center" vertical="center"/>
    </xf>
    <xf numFmtId="0" fontId="0" fillId="3" borderId="17" xfId="0" applyFill="1" applyBorder="1" applyAlignment="1">
      <alignment horizontal="center" vertical="center"/>
    </xf>
    <xf numFmtId="0" fontId="0" fillId="3" borderId="18" xfId="0" applyFill="1" applyBorder="1" applyAlignment="1">
      <alignment horizontal="center" vertical="center"/>
    </xf>
    <xf numFmtId="0" fontId="0" fillId="3" borderId="12" xfId="0" applyFill="1" applyBorder="1" applyAlignment="1">
      <alignment horizontal="center" vertical="center"/>
    </xf>
    <xf numFmtId="0" fontId="0" fillId="3" borderId="15" xfId="0" applyFill="1" applyBorder="1" applyAlignment="1">
      <alignment horizontal="center" vertical="center"/>
    </xf>
    <xf numFmtId="0" fontId="0" fillId="3" borderId="16" xfId="0" applyFill="1" applyBorder="1" applyAlignment="1">
      <alignment horizontal="center" vertical="center"/>
    </xf>
    <xf numFmtId="0" fontId="0" fillId="3" borderId="19" xfId="0" applyFill="1" applyBorder="1" applyAlignment="1">
      <alignment horizontal="center" vertical="center"/>
    </xf>
    <xf numFmtId="0" fontId="0" fillId="3" borderId="2" xfId="0" applyFill="1" applyBorder="1" applyAlignment="1">
      <alignment horizontal="center" vertical="center"/>
    </xf>
    <xf numFmtId="0" fontId="0" fillId="3" borderId="20" xfId="0" applyFill="1" applyBorder="1" applyAlignment="1">
      <alignment horizontal="center" vertical="center"/>
    </xf>
    <xf numFmtId="0" fontId="0" fillId="3" borderId="21" xfId="0" applyFill="1" applyBorder="1" applyAlignment="1">
      <alignment horizontal="center" vertical="center"/>
    </xf>
    <xf numFmtId="0" fontId="0" fillId="3" borderId="7" xfId="0" applyFill="1" applyBorder="1" applyAlignment="1">
      <alignment horizontal="center" vertical="center"/>
    </xf>
    <xf numFmtId="0" fontId="0" fillId="3" borderId="8" xfId="0" applyFill="1" applyBorder="1" applyAlignment="1">
      <alignment horizontal="center" vertical="center"/>
    </xf>
    <xf numFmtId="0" fontId="0" fillId="3" borderId="9" xfId="0" applyFill="1" applyBorder="1" applyAlignment="1">
      <alignment horizontal="center" vertical="center"/>
    </xf>
    <xf numFmtId="0" fontId="0" fillId="3" borderId="22" xfId="0" applyFill="1" applyBorder="1" applyAlignment="1">
      <alignment horizontal="center" vertical="center"/>
    </xf>
    <xf numFmtId="0" fontId="0" fillId="3" borderId="23" xfId="0" applyFill="1" applyBorder="1" applyAlignment="1">
      <alignment horizontal="center" vertical="center"/>
    </xf>
    <xf numFmtId="0" fontId="0" fillId="3" borderId="4" xfId="0" applyFill="1" applyBorder="1" applyAlignment="1">
      <alignment horizontal="center" vertical="center"/>
    </xf>
    <xf numFmtId="0" fontId="0" fillId="3" borderId="25" xfId="0" applyFill="1" applyBorder="1" applyAlignment="1">
      <alignment horizontal="center" vertical="center"/>
    </xf>
    <xf numFmtId="0" fontId="0" fillId="3" borderId="11" xfId="0" applyFill="1" applyBorder="1" applyAlignment="1">
      <alignment horizontal="center" vertical="center"/>
    </xf>
    <xf numFmtId="0" fontId="0" fillId="3" borderId="27" xfId="0" applyFill="1" applyBorder="1" applyAlignment="1">
      <alignment horizontal="center" vertical="center"/>
    </xf>
    <xf numFmtId="0" fontId="0" fillId="3" borderId="12" xfId="0" applyFill="1" applyBorder="1" applyAlignment="1">
      <alignment horizontal="left" vertical="center"/>
    </xf>
    <xf numFmtId="0" fontId="0" fillId="3" borderId="5" xfId="0" applyFill="1" applyBorder="1" applyAlignment="1">
      <alignment horizontal="left" vertical="center"/>
    </xf>
    <xf numFmtId="0" fontId="0" fillId="3" borderId="9" xfId="0" applyFill="1" applyBorder="1" applyAlignment="1">
      <alignment horizontal="left" vertical="center"/>
    </xf>
    <xf numFmtId="0" fontId="0" fillId="3" borderId="2" xfId="0" applyFill="1" applyBorder="1" applyAlignment="1">
      <alignment horizontal="left" vertical="center"/>
    </xf>
    <xf numFmtId="0" fontId="0" fillId="3" borderId="11" xfId="0" applyFill="1" applyBorder="1" applyAlignment="1">
      <alignment horizontal="left" vertical="center"/>
    </xf>
    <xf numFmtId="0" fontId="4" fillId="4" borderId="9" xfId="0" applyFont="1" applyFill="1" applyBorder="1" applyAlignment="1">
      <alignment horizontal="center" vertical="center" wrapText="1"/>
    </xf>
    <xf numFmtId="2" fontId="0" fillId="0" borderId="0" xfId="0" applyNumberFormat="1" applyAlignment="1">
      <alignment horizontal="center" vertical="center"/>
    </xf>
    <xf numFmtId="0" fontId="0" fillId="0" borderId="19"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9"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11" fillId="0" borderId="0" xfId="0" applyFont="1" applyAlignment="1">
      <alignment vertical="center" wrapText="1"/>
    </xf>
    <xf numFmtId="0" fontId="0" fillId="4" borderId="9" xfId="0" applyFill="1" applyBorder="1" applyAlignment="1">
      <alignment horizontal="center" vertical="center"/>
    </xf>
    <xf numFmtId="2" fontId="0" fillId="0" borderId="0" xfId="0" applyNumberFormat="1" applyAlignment="1">
      <alignment horizontal="center"/>
    </xf>
    <xf numFmtId="0" fontId="13" fillId="0" borderId="12" xfId="0" applyFont="1" applyBorder="1" applyAlignment="1">
      <alignment horizontal="center" vertical="center"/>
    </xf>
    <xf numFmtId="0" fontId="4" fillId="0" borderId="12" xfId="0" applyFont="1" applyBorder="1" applyAlignment="1">
      <alignment horizontal="center" vertical="center"/>
    </xf>
    <xf numFmtId="2" fontId="4" fillId="0" borderId="12" xfId="0" applyNumberFormat="1" applyFont="1" applyBorder="1" applyAlignment="1">
      <alignment horizontal="center" vertical="center"/>
    </xf>
    <xf numFmtId="164" fontId="4" fillId="0" borderId="12" xfId="0" applyNumberFormat="1" applyFont="1" applyBorder="1" applyAlignment="1">
      <alignment horizontal="center" vertical="center"/>
    </xf>
    <xf numFmtId="1" fontId="4" fillId="0" borderId="12" xfId="0" applyNumberFormat="1" applyFont="1" applyBorder="1" applyAlignment="1">
      <alignment horizontal="center" vertical="center"/>
    </xf>
    <xf numFmtId="2" fontId="9" fillId="0" borderId="12" xfId="0" applyNumberFormat="1" applyFont="1" applyBorder="1" applyAlignment="1">
      <alignment horizontal="center" vertical="center"/>
    </xf>
    <xf numFmtId="0" fontId="5" fillId="6"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9" xfId="0" applyFont="1" applyFill="1" applyBorder="1" applyAlignment="1">
      <alignment horizontal="center" vertical="center"/>
    </xf>
    <xf numFmtId="0" fontId="4" fillId="5" borderId="9"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0" fillId="3" borderId="3" xfId="0" applyFill="1" applyBorder="1" applyAlignment="1">
      <alignment horizontal="center" vertical="center"/>
    </xf>
    <xf numFmtId="0" fontId="0" fillId="3" borderId="6" xfId="0" applyFill="1" applyBorder="1" applyAlignment="1">
      <alignment horizontal="center" vertical="center"/>
    </xf>
    <xf numFmtId="0" fontId="0" fillId="3" borderId="10" xfId="0" applyFill="1" applyBorder="1" applyAlignment="1">
      <alignment horizontal="center" vertical="center"/>
    </xf>
    <xf numFmtId="0" fontId="7" fillId="0" borderId="0" xfId="0" applyFont="1" applyAlignment="1">
      <alignment horizontal="center" vertical="center" wrapText="1"/>
    </xf>
    <xf numFmtId="0" fontId="4" fillId="3" borderId="0" xfId="0" applyFont="1" applyFill="1" applyAlignment="1">
      <alignment horizontal="center" vertical="center" wrapText="1"/>
    </xf>
    <xf numFmtId="0" fontId="0" fillId="3" borderId="34" xfId="0" applyFill="1" applyBorder="1" applyAlignment="1">
      <alignment horizontal="center" vertical="center"/>
    </xf>
    <xf numFmtId="0" fontId="0" fillId="3" borderId="26" xfId="0" applyFill="1" applyBorder="1" applyAlignment="1">
      <alignment horizontal="center" vertical="center"/>
    </xf>
    <xf numFmtId="0" fontId="0" fillId="3" borderId="28" xfId="0" applyFill="1" applyBorder="1" applyAlignment="1">
      <alignment horizontal="center" vertical="center"/>
    </xf>
    <xf numFmtId="0" fontId="4" fillId="3" borderId="24" xfId="0" applyFont="1" applyFill="1" applyBorder="1" applyAlignment="1">
      <alignment horizontal="center" vertical="center"/>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31" xfId="0" applyFont="1" applyFill="1" applyBorder="1" applyAlignment="1">
      <alignment horizontal="center" vertical="center" wrapText="1"/>
    </xf>
    <xf numFmtId="0" fontId="0" fillId="0" borderId="5" xfId="0" applyBorder="1"/>
    <xf numFmtId="1" fontId="0" fillId="0" borderId="0" xfId="0" applyNumberFormat="1"/>
    <xf numFmtId="0" fontId="0" fillId="0" borderId="0" xfId="0" applyAlignment="1">
      <alignment horizontal="right"/>
    </xf>
    <xf numFmtId="0" fontId="0" fillId="0" borderId="0" xfId="0" applyAlignment="1">
      <alignment horizontal="left"/>
    </xf>
    <xf numFmtId="164" fontId="0" fillId="0" borderId="0" xfId="0" applyNumberFormat="1"/>
    <xf numFmtId="2" fontId="0" fillId="0" borderId="5" xfId="0" applyNumberFormat="1" applyBorder="1" applyAlignment="1">
      <alignment horizontal="center" vertical="center"/>
    </xf>
    <xf numFmtId="164" fontId="0" fillId="0" borderId="5" xfId="0" applyNumberFormat="1" applyBorder="1" applyAlignment="1">
      <alignment horizontal="center" vertical="center"/>
    </xf>
    <xf numFmtId="0" fontId="0" fillId="0" borderId="5" xfId="0" applyBorder="1" applyAlignment="1">
      <alignment horizontal="center" vertical="center"/>
    </xf>
    <xf numFmtId="164" fontId="16" fillId="0" borderId="2" xfId="0" applyNumberFormat="1" applyFont="1" applyBorder="1" applyAlignment="1">
      <alignment horizontal="center" vertical="center"/>
    </xf>
    <xf numFmtId="0" fontId="16" fillId="0" borderId="2" xfId="0" applyFont="1" applyBorder="1" applyAlignment="1">
      <alignment horizontal="center" vertical="center"/>
    </xf>
    <xf numFmtId="0" fontId="16" fillId="0" borderId="9" xfId="0" applyFont="1" applyBorder="1" applyAlignment="1">
      <alignment horizontal="center" vertical="center"/>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0" fillId="3" borderId="0" xfId="0" applyFill="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1" fillId="0" borderId="0" xfId="0" applyFont="1" applyAlignment="1">
      <alignment horizontal="left" vertical="center" wrapText="1"/>
    </xf>
    <xf numFmtId="0" fontId="0" fillId="0" borderId="14" xfId="0" applyBorder="1" applyAlignment="1">
      <alignment horizontal="center" vertical="center"/>
    </xf>
    <xf numFmtId="164" fontId="0" fillId="10" borderId="5" xfId="0" applyNumberFormat="1" applyFill="1" applyBorder="1" applyAlignment="1">
      <alignment horizontal="center" vertical="center"/>
    </xf>
    <xf numFmtId="0" fontId="0" fillId="10" borderId="5" xfId="0" applyFill="1" applyBorder="1" applyAlignment="1">
      <alignment horizontal="center" vertical="center"/>
    </xf>
    <xf numFmtId="164" fontId="0" fillId="10" borderId="9" xfId="0" applyNumberFormat="1" applyFill="1" applyBorder="1" applyAlignment="1">
      <alignment horizontal="center" vertical="center"/>
    </xf>
    <xf numFmtId="0" fontId="0" fillId="10" borderId="7" xfId="0" applyFill="1" applyBorder="1" applyAlignment="1">
      <alignment horizontal="center" vertical="center"/>
    </xf>
    <xf numFmtId="0" fontId="0" fillId="10" borderId="6" xfId="0" applyFill="1" applyBorder="1" applyAlignment="1">
      <alignment horizontal="center" vertical="center"/>
    </xf>
    <xf numFmtId="0" fontId="0" fillId="10" borderId="8" xfId="0" applyFill="1" applyBorder="1" applyAlignment="1">
      <alignment horizontal="center" vertical="center"/>
    </xf>
    <xf numFmtId="0" fontId="0" fillId="10" borderId="9" xfId="0" applyFill="1" applyBorder="1" applyAlignment="1">
      <alignment horizontal="center" vertical="center"/>
    </xf>
    <xf numFmtId="0" fontId="0" fillId="7" borderId="2" xfId="0" applyFill="1" applyBorder="1" applyAlignment="1">
      <alignment horizontal="center" vertical="center"/>
    </xf>
    <xf numFmtId="0" fontId="0" fillId="7" borderId="9" xfId="0" applyFill="1" applyBorder="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0" fontId="13" fillId="0" borderId="0" xfId="0" applyFont="1" applyAlignment="1">
      <alignment horizontal="right" vertical="center"/>
    </xf>
    <xf numFmtId="2" fontId="4" fillId="0" borderId="0" xfId="0" applyNumberFormat="1" applyFont="1" applyAlignment="1">
      <alignment horizontal="left" vertical="center"/>
    </xf>
    <xf numFmtId="0" fontId="5" fillId="4" borderId="2"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0" fillId="4" borderId="22" xfId="0" applyFill="1" applyBorder="1" applyAlignment="1">
      <alignment horizontal="center" vertical="center"/>
    </xf>
    <xf numFmtId="0" fontId="0" fillId="0" borderId="17" xfId="0" applyBorder="1" applyAlignment="1">
      <alignment horizontal="center" vertical="center"/>
    </xf>
    <xf numFmtId="0" fontId="0" fillId="10" borderId="17" xfId="0" applyFill="1" applyBorder="1" applyAlignment="1">
      <alignment horizontal="center" vertical="center"/>
    </xf>
    <xf numFmtId="0" fontId="0" fillId="10" borderId="22" xfId="0" applyFill="1" applyBorder="1" applyAlignment="1">
      <alignment horizontal="center" vertical="center"/>
    </xf>
    <xf numFmtId="0" fontId="4" fillId="7" borderId="9" xfId="0" applyFont="1" applyFill="1" applyBorder="1" applyAlignment="1">
      <alignment horizontal="center" vertical="center" wrapText="1"/>
    </xf>
    <xf numFmtId="164" fontId="0" fillId="0" borderId="0" xfId="0" applyNumberFormat="1" applyAlignment="1">
      <alignment horizontal="center" vertical="center"/>
    </xf>
    <xf numFmtId="164" fontId="0" fillId="0" borderId="9" xfId="0" applyNumberFormat="1" applyBorder="1" applyAlignment="1">
      <alignment horizontal="center" vertical="center"/>
    </xf>
    <xf numFmtId="164" fontId="0" fillId="0" borderId="6" xfId="0" applyNumberFormat="1" applyBorder="1" applyAlignment="1">
      <alignment horizontal="center" vertical="center"/>
    </xf>
    <xf numFmtId="164" fontId="0" fillId="0" borderId="10" xfId="0" applyNumberFormat="1" applyBorder="1" applyAlignment="1">
      <alignment horizontal="center" vertical="center"/>
    </xf>
    <xf numFmtId="0" fontId="0" fillId="0" borderId="4" xfId="0" applyBorder="1" applyAlignment="1">
      <alignment horizontal="center" vertical="center"/>
    </xf>
    <xf numFmtId="164" fontId="0" fillId="0" borderId="12" xfId="0" applyNumberFormat="1" applyBorder="1" applyAlignment="1">
      <alignment horizontal="center" vertical="center"/>
    </xf>
    <xf numFmtId="164" fontId="0" fillId="0" borderId="34" xfId="0" applyNumberFormat="1" applyBorder="1" applyAlignment="1">
      <alignment horizontal="center" vertical="center"/>
    </xf>
    <xf numFmtId="0" fontId="0" fillId="0" borderId="47" xfId="0" applyBorder="1" applyAlignment="1">
      <alignment horizontal="center" vertical="center"/>
    </xf>
    <xf numFmtId="1" fontId="0" fillId="0" borderId="48" xfId="0" applyNumberFormat="1" applyBorder="1" applyAlignment="1">
      <alignment horizontal="center" vertical="center"/>
    </xf>
    <xf numFmtId="1" fontId="0" fillId="0" borderId="49" xfId="0" applyNumberFormat="1" applyBorder="1" applyAlignment="1">
      <alignment horizontal="center" vertical="center"/>
    </xf>
    <xf numFmtId="0" fontId="4" fillId="11" borderId="9" xfId="0" applyFont="1" applyFill="1" applyBorder="1" applyAlignment="1">
      <alignment horizontal="center" vertical="center" wrapText="1"/>
    </xf>
    <xf numFmtId="0" fontId="0" fillId="0" borderId="15" xfId="0" applyBorder="1" applyAlignment="1">
      <alignment horizontal="center" vertical="center"/>
    </xf>
    <xf numFmtId="0" fontId="0" fillId="4" borderId="42" xfId="0" applyFill="1" applyBorder="1" applyAlignment="1">
      <alignment horizontal="center" vertical="center"/>
    </xf>
    <xf numFmtId="0" fontId="0" fillId="10" borderId="42" xfId="0" applyFill="1" applyBorder="1" applyAlignment="1">
      <alignment horizontal="center" vertical="center"/>
    </xf>
    <xf numFmtId="0" fontId="5" fillId="6" borderId="20" xfId="0" applyFont="1" applyFill="1" applyBorder="1" applyAlignment="1">
      <alignment horizontal="center" vertical="center" wrapText="1"/>
    </xf>
    <xf numFmtId="0" fontId="19" fillId="0" borderId="0" xfId="0" applyFont="1"/>
    <xf numFmtId="0" fontId="13" fillId="0" borderId="29" xfId="0" applyFont="1" applyBorder="1" applyAlignment="1">
      <alignment horizontal="center" vertical="center"/>
    </xf>
    <xf numFmtId="0" fontId="4" fillId="0" borderId="41" xfId="0" applyFont="1" applyBorder="1" applyAlignment="1">
      <alignment horizontal="center" vertical="center"/>
    </xf>
    <xf numFmtId="0" fontId="13" fillId="0" borderId="41" xfId="0" applyFont="1" applyBorder="1" applyAlignment="1">
      <alignment horizontal="center" vertical="center"/>
    </xf>
    <xf numFmtId="2" fontId="4" fillId="0" borderId="41" xfId="0" applyNumberFormat="1" applyFont="1" applyBorder="1" applyAlignment="1">
      <alignment horizontal="center" vertical="center"/>
    </xf>
    <xf numFmtId="164" fontId="4" fillId="0" borderId="41" xfId="0" applyNumberFormat="1" applyFont="1" applyBorder="1" applyAlignment="1">
      <alignment horizontal="center" vertical="center"/>
    </xf>
    <xf numFmtId="1" fontId="4" fillId="0" borderId="41" xfId="0" applyNumberFormat="1" applyFont="1" applyBorder="1" applyAlignment="1">
      <alignment horizontal="center" vertical="center"/>
    </xf>
    <xf numFmtId="2" fontId="9" fillId="0" borderId="42" xfId="0" applyNumberFormat="1" applyFont="1" applyBorder="1" applyAlignment="1">
      <alignment horizontal="center" vertical="center"/>
    </xf>
    <xf numFmtId="0" fontId="0" fillId="0" borderId="41" xfId="0" applyBorder="1" applyAlignment="1">
      <alignment horizontal="center" vertical="center"/>
    </xf>
    <xf numFmtId="165" fontId="0" fillId="0" borderId="41" xfId="0" applyNumberFormat="1" applyBorder="1" applyAlignment="1">
      <alignment horizontal="center" vertical="center"/>
    </xf>
    <xf numFmtId="0" fontId="5" fillId="7" borderId="0" xfId="0" applyFont="1" applyFill="1" applyAlignment="1">
      <alignment horizontal="center" vertical="center" wrapText="1"/>
    </xf>
    <xf numFmtId="0" fontId="4" fillId="7" borderId="0" xfId="0" applyFont="1" applyFill="1" applyAlignment="1">
      <alignment horizontal="center" vertical="center" wrapText="1"/>
    </xf>
    <xf numFmtId="2" fontId="9" fillId="0" borderId="0" xfId="0" applyNumberFormat="1" applyFont="1" applyAlignment="1">
      <alignment horizontal="center" vertical="center"/>
    </xf>
    <xf numFmtId="0" fontId="0" fillId="0" borderId="0" xfId="0" applyAlignment="1">
      <alignment horizontal="right" vertical="center"/>
    </xf>
    <xf numFmtId="0" fontId="20" fillId="0" borderId="0" xfId="0" applyFont="1" applyAlignment="1">
      <alignment horizontal="center" vertical="center"/>
    </xf>
    <xf numFmtId="0" fontId="0" fillId="0" borderId="0" xfId="0" applyAlignment="1">
      <alignment horizontal="left" vertical="center"/>
    </xf>
    <xf numFmtId="0" fontId="4" fillId="12" borderId="9" xfId="0" applyFont="1" applyFill="1" applyBorder="1" applyAlignment="1">
      <alignment horizontal="center" vertical="center" wrapText="1"/>
    </xf>
    <xf numFmtId="0" fontId="5" fillId="0" borderId="0" xfId="0" applyFont="1" applyAlignment="1">
      <alignment horizontal="center" vertical="center" wrapText="1"/>
    </xf>
    <xf numFmtId="0" fontId="4" fillId="0" borderId="0" xfId="0" applyFont="1" applyAlignment="1">
      <alignment horizontal="center" vertical="center" wrapText="1"/>
    </xf>
    <xf numFmtId="2" fontId="4" fillId="0" borderId="0" xfId="0" applyNumberFormat="1" applyFont="1" applyAlignment="1">
      <alignment horizontal="center" vertical="center"/>
    </xf>
    <xf numFmtId="164" fontId="4" fillId="0" borderId="0" xfId="0" applyNumberFormat="1" applyFont="1" applyAlignment="1">
      <alignment horizontal="center" vertical="center"/>
    </xf>
    <xf numFmtId="1" fontId="4" fillId="0" borderId="0" xfId="0" applyNumberFormat="1" applyFont="1" applyAlignment="1">
      <alignment horizontal="center" vertical="center"/>
    </xf>
    <xf numFmtId="1" fontId="0" fillId="0" borderId="0" xfId="0" applyNumberFormat="1" applyAlignment="1">
      <alignment horizontal="center" vertical="center"/>
    </xf>
    <xf numFmtId="1" fontId="4" fillId="12" borderId="12" xfId="0" applyNumberFormat="1" applyFont="1" applyFill="1" applyBorder="1" applyAlignment="1">
      <alignment horizontal="center" vertical="center"/>
    </xf>
    <xf numFmtId="2" fontId="0" fillId="0" borderId="12" xfId="0" applyNumberFormat="1" applyBorder="1" applyAlignment="1">
      <alignment horizontal="center" vertical="center"/>
    </xf>
    <xf numFmtId="2" fontId="0" fillId="0" borderId="9" xfId="0" applyNumberFormat="1" applyBorder="1" applyAlignment="1">
      <alignment horizontal="center" vertical="center"/>
    </xf>
    <xf numFmtId="1" fontId="0" fillId="0" borderId="49" xfId="0" applyNumberFormat="1" applyBorder="1" applyAlignment="1">
      <alignment horizontal="center" vertical="center" wrapText="1"/>
    </xf>
    <xf numFmtId="2" fontId="0" fillId="0" borderId="34" xfId="0" applyNumberFormat="1" applyBorder="1" applyAlignment="1">
      <alignment horizontal="center" vertical="center"/>
    </xf>
    <xf numFmtId="2" fontId="0" fillId="0" borderId="6" xfId="0" applyNumberFormat="1" applyBorder="1" applyAlignment="1">
      <alignment horizontal="center" vertical="center"/>
    </xf>
    <xf numFmtId="2" fontId="0" fillId="0" borderId="10" xfId="0" applyNumberFormat="1" applyBorder="1" applyAlignment="1">
      <alignment horizontal="center" vertical="center"/>
    </xf>
    <xf numFmtId="1" fontId="0" fillId="0" borderId="12" xfId="0" applyNumberFormat="1" applyBorder="1" applyAlignment="1">
      <alignment horizontal="center" vertical="center"/>
    </xf>
    <xf numFmtId="1" fontId="0" fillId="0" borderId="5" xfId="0" applyNumberFormat="1" applyBorder="1" applyAlignment="1">
      <alignment horizontal="center" vertical="center"/>
    </xf>
    <xf numFmtId="1" fontId="0" fillId="0" borderId="9" xfId="0" applyNumberFormat="1" applyBorder="1" applyAlignment="1">
      <alignment horizontal="center" vertical="center"/>
    </xf>
    <xf numFmtId="1" fontId="0" fillId="13" borderId="48" xfId="0" applyNumberFormat="1" applyFill="1" applyBorder="1" applyAlignment="1">
      <alignment horizontal="center" vertical="center" wrapText="1"/>
    </xf>
    <xf numFmtId="0" fontId="4" fillId="7" borderId="50" xfId="0" applyFont="1" applyFill="1" applyBorder="1" applyAlignment="1">
      <alignment horizontal="center" vertical="center" wrapText="1"/>
    </xf>
    <xf numFmtId="2" fontId="0" fillId="0" borderId="0" xfId="0" applyNumberFormat="1"/>
    <xf numFmtId="0" fontId="0" fillId="0" borderId="46" xfId="0" applyBorder="1" applyAlignment="1">
      <alignment horizontal="center" vertical="center"/>
    </xf>
    <xf numFmtId="0" fontId="0" fillId="0" borderId="51" xfId="0" applyBorder="1" applyAlignment="1">
      <alignment horizontal="center" vertical="center"/>
    </xf>
    <xf numFmtId="0" fontId="16" fillId="0" borderId="3" xfId="0" applyFont="1" applyBorder="1" applyAlignment="1">
      <alignment horizontal="center" vertical="center"/>
    </xf>
    <xf numFmtId="0" fontId="16" fillId="0" borderId="10" xfId="0" applyFont="1" applyBorder="1" applyAlignment="1">
      <alignment horizontal="center" vertical="center"/>
    </xf>
    <xf numFmtId="164" fontId="0" fillId="0" borderId="39" xfId="0" applyNumberFormat="1" applyBorder="1" applyAlignment="1">
      <alignment horizontal="center" vertical="center"/>
    </xf>
    <xf numFmtId="164" fontId="0" fillId="0" borderId="52" xfId="0" applyNumberFormat="1" applyBorder="1" applyAlignment="1">
      <alignment horizontal="center" vertical="center"/>
    </xf>
    <xf numFmtId="164" fontId="0" fillId="0" borderId="41" xfId="0" applyNumberFormat="1" applyBorder="1" applyAlignment="1">
      <alignment horizontal="center" vertical="center"/>
    </xf>
    <xf numFmtId="164" fontId="0" fillId="0" borderId="42" xfId="0" applyNumberFormat="1" applyBorder="1" applyAlignment="1">
      <alignment horizontal="center" vertical="center"/>
    </xf>
    <xf numFmtId="0" fontId="0" fillId="0" borderId="53" xfId="0" applyBorder="1" applyAlignment="1">
      <alignment horizontal="center"/>
    </xf>
    <xf numFmtId="0" fontId="0" fillId="0" borderId="31" xfId="0" applyBorder="1" applyAlignment="1">
      <alignment horizontal="center"/>
    </xf>
    <xf numFmtId="0" fontId="0" fillId="0" borderId="44" xfId="0" applyBorder="1" applyAlignment="1">
      <alignment horizontal="center"/>
    </xf>
    <xf numFmtId="0" fontId="4" fillId="14" borderId="9" xfId="0" applyFont="1" applyFill="1" applyBorder="1" applyAlignment="1">
      <alignment horizontal="center" vertical="center" wrapText="1"/>
    </xf>
    <xf numFmtId="0" fontId="0" fillId="0" borderId="23"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9" fillId="4" borderId="0" xfId="0" applyFont="1" applyFill="1" applyAlignment="1">
      <alignment horizontal="center" vertical="center" wrapText="1"/>
    </xf>
    <xf numFmtId="0" fontId="0" fillId="8" borderId="0" xfId="0" applyFill="1"/>
    <xf numFmtId="0" fontId="4" fillId="8" borderId="12" xfId="0" applyFont="1" applyFill="1" applyBorder="1" applyAlignment="1">
      <alignment horizontal="center" vertical="center"/>
    </xf>
    <xf numFmtId="2" fontId="4" fillId="0" borderId="2" xfId="0" applyNumberFormat="1" applyFont="1" applyBorder="1" applyAlignment="1">
      <alignment horizontal="center" vertical="center"/>
    </xf>
    <xf numFmtId="0" fontId="0" fillId="9" borderId="0" xfId="0" applyFill="1"/>
    <xf numFmtId="0" fontId="5" fillId="0" borderId="0" xfId="0" applyFont="1" applyAlignment="1">
      <alignment vertical="center" wrapText="1"/>
    </xf>
    <xf numFmtId="1" fontId="4" fillId="0" borderId="0" xfId="0" applyNumberFormat="1" applyFont="1" applyAlignment="1">
      <alignment horizontal="left" vertical="center"/>
    </xf>
    <xf numFmtId="0" fontId="4" fillId="0" borderId="54" xfId="0" applyFont="1" applyBorder="1" applyAlignment="1">
      <alignment horizontal="left" vertical="center"/>
    </xf>
    <xf numFmtId="0" fontId="4" fillId="0" borderId="53" xfId="0" applyFont="1" applyBorder="1" applyAlignment="1">
      <alignment horizontal="left" vertical="center"/>
    </xf>
    <xf numFmtId="9" fontId="18" fillId="0" borderId="0" xfId="2" applyFont="1" applyBorder="1" applyAlignment="1">
      <alignment horizontal="right" vertical="center"/>
    </xf>
    <xf numFmtId="0" fontId="4" fillId="0" borderId="54" xfId="0" applyFont="1" applyBorder="1" applyAlignment="1">
      <alignment horizontal="center" vertical="center"/>
    </xf>
    <xf numFmtId="0" fontId="16" fillId="15" borderId="36" xfId="0" applyFont="1" applyFill="1" applyBorder="1" applyProtection="1">
      <protection hidden="1"/>
    </xf>
    <xf numFmtId="0" fontId="16" fillId="15" borderId="35" xfId="0" applyFont="1" applyFill="1" applyBorder="1" applyProtection="1">
      <protection hidden="1"/>
    </xf>
    <xf numFmtId="0" fontId="0" fillId="15" borderId="35" xfId="0" applyFill="1" applyBorder="1" applyProtection="1">
      <protection hidden="1"/>
    </xf>
    <xf numFmtId="0" fontId="16" fillId="15" borderId="54" xfId="0" applyFont="1" applyFill="1" applyBorder="1" applyProtection="1">
      <protection hidden="1"/>
    </xf>
    <xf numFmtId="0" fontId="0" fillId="7" borderId="0" xfId="0" applyFill="1"/>
    <xf numFmtId="0" fontId="16" fillId="15" borderId="0" xfId="0" applyFont="1" applyFill="1" applyProtection="1">
      <protection hidden="1"/>
    </xf>
    <xf numFmtId="0" fontId="0" fillId="15" borderId="0" xfId="0" applyFill="1" applyProtection="1">
      <protection hidden="1"/>
    </xf>
    <xf numFmtId="0" fontId="25" fillId="15" borderId="0" xfId="0" applyFont="1" applyFill="1" applyProtection="1">
      <protection hidden="1"/>
    </xf>
    <xf numFmtId="0" fontId="25" fillId="15" borderId="0" xfId="0" applyFont="1" applyFill="1" applyAlignment="1" applyProtection="1">
      <alignment horizontal="right" vertical="center"/>
      <protection hidden="1"/>
    </xf>
    <xf numFmtId="0" fontId="23" fillId="0" borderId="0" xfId="0" applyFont="1" applyAlignment="1">
      <alignment horizontal="left" vertical="center"/>
    </xf>
    <xf numFmtId="0" fontId="21" fillId="0" borderId="0" xfId="0" applyFont="1" applyAlignment="1">
      <alignment horizontal="left" vertical="center"/>
    </xf>
    <xf numFmtId="0" fontId="5" fillId="0" borderId="0" xfId="0" applyFont="1" applyAlignment="1">
      <alignment vertical="center"/>
    </xf>
    <xf numFmtId="0" fontId="4" fillId="0" borderId="0" xfId="0" applyFont="1" applyAlignment="1">
      <alignment vertical="center"/>
    </xf>
    <xf numFmtId="0" fontId="28" fillId="0" borderId="0" xfId="0" applyFont="1" applyAlignment="1">
      <alignment horizontal="left" vertical="center"/>
    </xf>
    <xf numFmtId="0" fontId="29" fillId="0" borderId="0" xfId="0" applyFont="1" applyAlignment="1">
      <alignment horizontal="left" vertical="center"/>
    </xf>
    <xf numFmtId="0" fontId="15" fillId="0" borderId="0" xfId="0" applyFont="1" applyAlignment="1">
      <alignment horizontal="right" vertical="center"/>
    </xf>
    <xf numFmtId="0" fontId="5" fillId="0" borderId="0" xfId="0" applyFont="1" applyAlignment="1">
      <alignment horizontal="left" vertical="center"/>
    </xf>
    <xf numFmtId="164" fontId="15" fillId="0" borderId="0" xfId="0" applyNumberFormat="1" applyFont="1" applyAlignment="1">
      <alignment horizontal="right" vertical="center"/>
    </xf>
    <xf numFmtId="0" fontId="21" fillId="0" borderId="0" xfId="0" applyFont="1" applyAlignment="1">
      <alignment horizontal="center" vertical="center"/>
    </xf>
    <xf numFmtId="0" fontId="24" fillId="0" borderId="0" xfId="0" applyFont="1" applyAlignment="1">
      <alignment horizontal="right" vertical="center"/>
    </xf>
    <xf numFmtId="164" fontId="24" fillId="0" borderId="0" xfId="0" applyNumberFormat="1" applyFont="1" applyAlignment="1">
      <alignment horizontal="right" vertical="center"/>
    </xf>
    <xf numFmtId="0" fontId="16" fillId="15" borderId="33" xfId="0" applyFont="1" applyFill="1" applyBorder="1" applyProtection="1">
      <protection hidden="1"/>
    </xf>
    <xf numFmtId="0" fontId="16" fillId="15" borderId="31" xfId="0" applyFont="1" applyFill="1" applyBorder="1" applyProtection="1">
      <protection hidden="1"/>
    </xf>
    <xf numFmtId="0" fontId="4" fillId="15" borderId="37" xfId="0" applyFont="1" applyFill="1" applyBorder="1" applyAlignment="1">
      <alignment horizontal="left" vertical="center"/>
    </xf>
    <xf numFmtId="0" fontId="4" fillId="15" borderId="53" xfId="0" applyFont="1" applyFill="1" applyBorder="1" applyAlignment="1">
      <alignment horizontal="left" vertical="center"/>
    </xf>
    <xf numFmtId="0" fontId="4" fillId="15" borderId="44" xfId="0" applyFont="1" applyFill="1" applyBorder="1" applyAlignment="1">
      <alignment horizontal="left" vertical="center"/>
    </xf>
    <xf numFmtId="0" fontId="0" fillId="0" borderId="0" xfId="0" applyAlignment="1">
      <alignment vertical="center" wrapText="1"/>
    </xf>
    <xf numFmtId="0" fontId="24" fillId="0" borderId="0" xfId="0" applyFont="1" applyAlignment="1">
      <alignment horizontal="center" vertical="center"/>
    </xf>
    <xf numFmtId="0" fontId="15" fillId="0" borderId="0" xfId="0" applyFont="1" applyAlignment="1">
      <alignment horizontal="center" vertical="center"/>
    </xf>
    <xf numFmtId="0" fontId="9" fillId="0" borderId="0" xfId="0" applyFont="1" applyAlignment="1">
      <alignment horizontal="center" vertical="center"/>
    </xf>
    <xf numFmtId="0" fontId="0" fillId="0" borderId="56" xfId="0" applyBorder="1"/>
    <xf numFmtId="0" fontId="0" fillId="0" borderId="56" xfId="0" applyBorder="1" applyAlignment="1">
      <alignment horizontal="center"/>
    </xf>
    <xf numFmtId="0" fontId="0" fillId="0" borderId="55" xfId="0" applyBorder="1"/>
    <xf numFmtId="0" fontId="0" fillId="0" borderId="55" xfId="0" applyBorder="1" applyAlignment="1">
      <alignment horizontal="center"/>
    </xf>
    <xf numFmtId="0" fontId="32" fillId="16" borderId="0" xfId="0" applyFont="1" applyFill="1" applyAlignment="1">
      <alignment horizontal="left" vertical="center"/>
    </xf>
    <xf numFmtId="0" fontId="28" fillId="16" borderId="0" xfId="0" applyFont="1" applyFill="1" applyAlignment="1">
      <alignment horizontal="left" vertical="center"/>
    </xf>
    <xf numFmtId="0" fontId="27" fillId="16" borderId="0" xfId="0" applyFont="1" applyFill="1" applyAlignment="1">
      <alignment horizontal="right" vertical="center"/>
    </xf>
    <xf numFmtId="0" fontId="4" fillId="16" borderId="53" xfId="0" applyFont="1" applyFill="1" applyBorder="1" applyAlignment="1">
      <alignment horizontal="left" vertical="center"/>
    </xf>
    <xf numFmtId="0" fontId="0" fillId="16" borderId="54" xfId="0" applyFill="1" applyBorder="1" applyProtection="1">
      <protection hidden="1"/>
    </xf>
    <xf numFmtId="0" fontId="0" fillId="16" borderId="0" xfId="0" applyFill="1" applyProtection="1">
      <protection hidden="1"/>
    </xf>
    <xf numFmtId="0" fontId="0" fillId="16" borderId="0" xfId="0" applyFill="1" applyProtection="1">
      <protection locked="0" hidden="1"/>
    </xf>
    <xf numFmtId="0" fontId="0" fillId="18" borderId="0" xfId="0" applyFill="1"/>
    <xf numFmtId="164" fontId="0" fillId="8" borderId="5" xfId="0" applyNumberFormat="1" applyFill="1" applyBorder="1" applyAlignment="1">
      <alignment horizontal="center" vertical="center"/>
    </xf>
    <xf numFmtId="164" fontId="4" fillId="0" borderId="0" xfId="0" applyNumberFormat="1" applyFont="1" applyAlignment="1">
      <alignment horizontal="left" vertical="center"/>
    </xf>
    <xf numFmtId="9" fontId="24" fillId="0" borderId="0" xfId="2" applyFont="1" applyBorder="1" applyAlignment="1">
      <alignment horizontal="right" vertical="center"/>
    </xf>
    <xf numFmtId="0" fontId="4" fillId="0" borderId="61" xfId="0" applyFont="1" applyBorder="1" applyAlignment="1">
      <alignment horizontal="left" vertical="center"/>
    </xf>
    <xf numFmtId="0" fontId="21" fillId="0" borderId="61" xfId="0" applyFont="1" applyBorder="1" applyAlignment="1">
      <alignment horizontal="left" vertical="center"/>
    </xf>
    <xf numFmtId="0" fontId="13" fillId="0" borderId="61" xfId="0" applyFont="1" applyBorder="1" applyAlignment="1">
      <alignment horizontal="right" vertical="center"/>
    </xf>
    <xf numFmtId="0" fontId="28" fillId="0" borderId="0" xfId="0" applyFont="1" applyAlignment="1">
      <alignment horizontal="center" vertical="center" wrapText="1"/>
    </xf>
    <xf numFmtId="0" fontId="13" fillId="0" borderId="0" xfId="0" applyFont="1" applyAlignment="1">
      <alignment horizontal="center" vertical="center"/>
    </xf>
    <xf numFmtId="0" fontId="2" fillId="0" borderId="0" xfId="0" applyFont="1"/>
    <xf numFmtId="14" fontId="13" fillId="0" borderId="0" xfId="0" applyNumberFormat="1" applyFont="1" applyAlignment="1">
      <alignment horizontal="center" vertical="center"/>
    </xf>
    <xf numFmtId="0" fontId="0" fillId="19" borderId="0" xfId="0" applyFill="1" applyAlignment="1">
      <alignment horizontal="center" vertical="center"/>
    </xf>
    <xf numFmtId="49" fontId="21" fillId="0" borderId="0" xfId="0" applyNumberFormat="1" applyFont="1" applyAlignment="1">
      <alignment horizontal="left" vertical="center"/>
    </xf>
    <xf numFmtId="0" fontId="0" fillId="20" borderId="0" xfId="0" applyFill="1"/>
    <xf numFmtId="0" fontId="33" fillId="0" borderId="0" xfId="0" applyFont="1" applyAlignment="1">
      <alignment horizontal="left" vertical="center"/>
    </xf>
    <xf numFmtId="0" fontId="34" fillId="0" borderId="0" xfId="0" applyFont="1" applyAlignment="1">
      <alignment horizontal="right" vertical="center"/>
    </xf>
    <xf numFmtId="164" fontId="34" fillId="0" borderId="0" xfId="0" applyNumberFormat="1" applyFont="1" applyAlignment="1">
      <alignment horizontal="right" vertical="center"/>
    </xf>
    <xf numFmtId="0" fontId="0" fillId="0" borderId="36" xfId="0" applyBorder="1"/>
    <xf numFmtId="0" fontId="0" fillId="0" borderId="35" xfId="0" applyBorder="1"/>
    <xf numFmtId="0" fontId="0" fillId="0" borderId="37" xfId="0" applyBorder="1"/>
    <xf numFmtId="0" fontId="0" fillId="0" borderId="54" xfId="0" applyBorder="1"/>
    <xf numFmtId="0" fontId="0" fillId="0" borderId="53" xfId="0" applyBorder="1"/>
    <xf numFmtId="0" fontId="0" fillId="0" borderId="33" xfId="0" applyBorder="1"/>
    <xf numFmtId="0" fontId="0" fillId="0" borderId="31" xfId="0" applyBorder="1"/>
    <xf numFmtId="0" fontId="0" fillId="0" borderId="44" xfId="0" applyBorder="1"/>
    <xf numFmtId="164" fontId="29" fillId="0" borderId="0" xfId="0" applyNumberFormat="1" applyFont="1" applyAlignment="1">
      <alignment horizontal="right" vertical="center"/>
    </xf>
    <xf numFmtId="0" fontId="0" fillId="0" borderId="50" xfId="0" applyBorder="1"/>
    <xf numFmtId="0" fontId="35" fillId="0" borderId="0" xfId="0" applyFont="1" applyAlignment="1">
      <alignment horizontal="center" vertical="center"/>
    </xf>
    <xf numFmtId="0" fontId="29" fillId="0" borderId="0" xfId="0" applyFont="1" applyAlignment="1">
      <alignment horizontal="center" vertical="center"/>
    </xf>
    <xf numFmtId="164" fontId="21" fillId="0" borderId="12" xfId="0" applyNumberFormat="1" applyFont="1" applyBorder="1" applyAlignment="1">
      <alignment horizontal="center" vertical="center"/>
    </xf>
    <xf numFmtId="1" fontId="21" fillId="0" borderId="12" xfId="0" applyNumberFormat="1" applyFont="1" applyBorder="1" applyAlignment="1">
      <alignment horizontal="center" vertical="center"/>
    </xf>
    <xf numFmtId="164" fontId="21" fillId="0" borderId="41" xfId="0" applyNumberFormat="1" applyFont="1" applyBorder="1" applyAlignment="1">
      <alignment horizontal="center" vertical="center"/>
    </xf>
    <xf numFmtId="9" fontId="24" fillId="0" borderId="0" xfId="2" applyFont="1" applyBorder="1" applyAlignment="1">
      <alignment horizontal="center" vertical="center"/>
    </xf>
    <xf numFmtId="0" fontId="4" fillId="0" borderId="0" xfId="0" applyFont="1" applyAlignment="1">
      <alignment horizontal="left" vertical="center" wrapText="1"/>
    </xf>
    <xf numFmtId="1" fontId="15" fillId="0" borderId="0" xfId="0" applyNumberFormat="1" applyFont="1" applyAlignment="1">
      <alignment horizontal="right" vertical="center"/>
    </xf>
    <xf numFmtId="2" fontId="15" fillId="0" borderId="0" xfId="0" applyNumberFormat="1" applyFont="1" applyAlignment="1">
      <alignment horizontal="right" vertical="center"/>
    </xf>
    <xf numFmtId="165" fontId="15" fillId="0" borderId="0" xfId="0" applyNumberFormat="1" applyFont="1" applyAlignment="1">
      <alignment horizontal="right" vertical="center"/>
    </xf>
    <xf numFmtId="9" fontId="4" fillId="0" borderId="0" xfId="2" applyFont="1" applyAlignment="1">
      <alignment horizontal="left" vertical="center"/>
    </xf>
    <xf numFmtId="0" fontId="15" fillId="0" borderId="0" xfId="0" applyFont="1" applyAlignment="1">
      <alignment horizontal="left" vertical="center"/>
    </xf>
    <xf numFmtId="164" fontId="15" fillId="0" borderId="0" xfId="0" applyNumberFormat="1" applyFont="1" applyAlignment="1">
      <alignment horizontal="center" vertical="center"/>
    </xf>
    <xf numFmtId="1" fontId="15" fillId="0" borderId="0" xfId="0" applyNumberFormat="1" applyFont="1" applyAlignment="1">
      <alignment horizontal="center" vertical="center"/>
    </xf>
    <xf numFmtId="0" fontId="4" fillId="7" borderId="12" xfId="0" applyFont="1" applyFill="1" applyBorder="1" applyAlignment="1">
      <alignment horizontal="center" vertical="center"/>
    </xf>
    <xf numFmtId="9" fontId="4" fillId="0" borderId="0" xfId="0" applyNumberFormat="1" applyFont="1" applyAlignment="1">
      <alignment horizontal="left" vertical="center"/>
    </xf>
    <xf numFmtId="0" fontId="4" fillId="21" borderId="36" xfId="0" applyFont="1" applyFill="1" applyBorder="1" applyAlignment="1">
      <alignment horizontal="left" vertical="center"/>
    </xf>
    <xf numFmtId="0" fontId="4" fillId="21" borderId="37" xfId="0" applyFont="1" applyFill="1" applyBorder="1" applyAlignment="1">
      <alignment horizontal="left" vertical="center"/>
    </xf>
    <xf numFmtId="0" fontId="4" fillId="21" borderId="54" xfId="0" applyFont="1" applyFill="1" applyBorder="1" applyAlignment="1">
      <alignment horizontal="left" vertical="center"/>
    </xf>
    <xf numFmtId="0" fontId="4" fillId="21" borderId="0" xfId="0" applyFont="1" applyFill="1" applyAlignment="1">
      <alignment horizontal="right" vertical="center"/>
    </xf>
    <xf numFmtId="9" fontId="4" fillId="21" borderId="0" xfId="0" applyNumberFormat="1" applyFont="1" applyFill="1" applyAlignment="1">
      <alignment horizontal="center" vertical="center"/>
    </xf>
    <xf numFmtId="0" fontId="4" fillId="21" borderId="53" xfId="0" applyFont="1" applyFill="1" applyBorder="1" applyAlignment="1">
      <alignment horizontal="left" vertical="center"/>
    </xf>
    <xf numFmtId="0" fontId="4" fillId="21" borderId="0" xfId="0" applyFont="1" applyFill="1" applyAlignment="1">
      <alignment horizontal="center" vertical="center"/>
    </xf>
    <xf numFmtId="0" fontId="4" fillId="21" borderId="0" xfId="0" applyFont="1" applyFill="1" applyAlignment="1">
      <alignment horizontal="left" vertical="center"/>
    </xf>
    <xf numFmtId="0" fontId="4" fillId="21" borderId="33" xfId="0" applyFont="1" applyFill="1" applyBorder="1" applyAlignment="1">
      <alignment horizontal="left" vertical="center"/>
    </xf>
    <xf numFmtId="0" fontId="4" fillId="21" borderId="31" xfId="0" applyFont="1" applyFill="1" applyBorder="1" applyAlignment="1">
      <alignment horizontal="left" vertical="center"/>
    </xf>
    <xf numFmtId="0" fontId="4" fillId="21" borderId="44" xfId="0" applyFont="1" applyFill="1" applyBorder="1" applyAlignment="1">
      <alignment horizontal="left" vertical="center"/>
    </xf>
    <xf numFmtId="0" fontId="38" fillId="0" borderId="0" xfId="0" applyFont="1" applyAlignment="1">
      <alignment horizontal="center" vertical="center" wrapText="1"/>
    </xf>
    <xf numFmtId="0" fontId="0" fillId="0" borderId="43" xfId="0" applyBorder="1" applyAlignment="1">
      <alignment horizontal="center" vertical="center"/>
    </xf>
    <xf numFmtId="0" fontId="0" fillId="0" borderId="63" xfId="0" applyBorder="1" applyAlignment="1">
      <alignment horizontal="center" vertical="center"/>
    </xf>
    <xf numFmtId="0" fontId="0" fillId="10" borderId="63" xfId="0" applyFill="1" applyBorder="1" applyAlignment="1">
      <alignment horizontal="center" vertical="center"/>
    </xf>
    <xf numFmtId="0" fontId="0" fillId="10" borderId="24" xfId="0" applyFill="1" applyBorder="1" applyAlignment="1">
      <alignment horizontal="center" vertical="center"/>
    </xf>
    <xf numFmtId="0" fontId="0" fillId="0" borderId="30" xfId="0" applyBorder="1" applyAlignment="1">
      <alignment horizontal="center" vertical="center"/>
    </xf>
    <xf numFmtId="0" fontId="0" fillId="0" borderId="24" xfId="0" applyBorder="1" applyAlignment="1">
      <alignment horizontal="center" vertical="center"/>
    </xf>
    <xf numFmtId="0" fontId="0" fillId="0" borderId="64" xfId="0" applyBorder="1" applyAlignment="1">
      <alignment horizontal="center" vertical="center"/>
    </xf>
    <xf numFmtId="164" fontId="0" fillId="2" borderId="35" xfId="0" applyNumberFormat="1" applyFill="1" applyBorder="1" applyAlignment="1">
      <alignment horizontal="center" vertical="center" wrapText="1"/>
    </xf>
    <xf numFmtId="0" fontId="0" fillId="0" borderId="54" xfId="0" applyBorder="1" applyAlignment="1">
      <alignment horizontal="center" vertical="center"/>
    </xf>
    <xf numFmtId="164" fontId="0" fillId="2" borderId="37" xfId="0" applyNumberFormat="1" applyFill="1" applyBorder="1" applyAlignment="1">
      <alignment horizontal="center" vertical="center" wrapText="1"/>
    </xf>
    <xf numFmtId="164" fontId="0" fillId="2" borderId="53" xfId="0" applyNumberFormat="1" applyFill="1" applyBorder="1" applyAlignment="1">
      <alignment horizontal="center" vertical="center" wrapText="1"/>
    </xf>
    <xf numFmtId="0" fontId="27" fillId="3" borderId="0" xfId="0" applyFont="1" applyFill="1" applyAlignment="1" applyProtection="1">
      <alignment horizontal="center" vertical="center"/>
      <protection locked="0"/>
    </xf>
    <xf numFmtId="0" fontId="0" fillId="17" borderId="57" xfId="0" applyFill="1" applyBorder="1" applyAlignment="1" applyProtection="1">
      <alignment horizontal="center" vertical="center"/>
      <protection locked="0"/>
    </xf>
    <xf numFmtId="164" fontId="0" fillId="17" borderId="57" xfId="0" applyNumberFormat="1" applyFill="1" applyBorder="1" applyAlignment="1" applyProtection="1">
      <alignment horizontal="center" vertical="center" wrapText="1"/>
      <protection locked="0"/>
    </xf>
    <xf numFmtId="0" fontId="35" fillId="17" borderId="57" xfId="0" applyFont="1" applyFill="1" applyBorder="1" applyAlignment="1" applyProtection="1">
      <alignment horizontal="center" vertical="center"/>
      <protection locked="0"/>
    </xf>
    <xf numFmtId="164" fontId="0" fillId="17" borderId="65" xfId="0" applyNumberFormat="1" applyFill="1" applyBorder="1" applyAlignment="1" applyProtection="1">
      <alignment horizontal="center" vertical="center" wrapText="1"/>
      <protection locked="0"/>
    </xf>
    <xf numFmtId="0" fontId="4" fillId="0" borderId="0" xfId="0" applyFont="1" applyAlignment="1">
      <alignment horizontal="right" vertical="center"/>
    </xf>
    <xf numFmtId="0" fontId="4" fillId="0" borderId="67" xfId="0" applyFont="1" applyBorder="1" applyAlignment="1">
      <alignment horizontal="left" vertical="center"/>
    </xf>
    <xf numFmtId="0" fontId="21" fillId="0" borderId="66" xfId="0" applyFont="1" applyBorder="1" applyAlignment="1">
      <alignment horizontal="left" vertical="center"/>
    </xf>
    <xf numFmtId="0" fontId="4" fillId="0" borderId="56" xfId="0" applyFont="1" applyBorder="1" applyAlignment="1">
      <alignment horizontal="left" vertical="center"/>
    </xf>
    <xf numFmtId="0" fontId="4" fillId="0" borderId="69" xfId="0" applyFont="1" applyBorder="1" applyAlignment="1">
      <alignment horizontal="left" vertical="center"/>
    </xf>
    <xf numFmtId="0" fontId="4" fillId="0" borderId="74" xfId="0" applyFont="1" applyBorder="1" applyAlignment="1">
      <alignment horizontal="left" vertical="center"/>
    </xf>
    <xf numFmtId="0" fontId="4" fillId="0" borderId="75" xfId="0" applyFont="1" applyBorder="1" applyAlignment="1">
      <alignment horizontal="left" vertical="center"/>
    </xf>
    <xf numFmtId="0" fontId="4" fillId="0" borderId="77" xfId="0" applyFont="1" applyBorder="1" applyAlignment="1">
      <alignment horizontal="left" vertical="center"/>
    </xf>
    <xf numFmtId="0" fontId="4" fillId="0" borderId="78" xfId="0" applyFont="1" applyBorder="1" applyAlignment="1">
      <alignment horizontal="left" vertical="center"/>
    </xf>
    <xf numFmtId="0" fontId="4" fillId="0" borderId="82" xfId="0" applyFont="1" applyBorder="1" applyAlignment="1">
      <alignment horizontal="left" vertical="center"/>
    </xf>
    <xf numFmtId="0" fontId="40" fillId="0" borderId="74" xfId="0" applyFont="1" applyBorder="1" applyAlignment="1">
      <alignment horizontal="right" vertical="center"/>
    </xf>
    <xf numFmtId="0" fontId="40" fillId="0" borderId="74" xfId="0" applyFont="1" applyBorder="1" applyAlignment="1">
      <alignment horizontal="center" vertical="center"/>
    </xf>
    <xf numFmtId="0" fontId="40" fillId="0" borderId="77" xfId="0" applyFont="1" applyBorder="1" applyAlignment="1">
      <alignment horizontal="right" vertical="center"/>
    </xf>
    <xf numFmtId="0" fontId="40" fillId="0" borderId="77" xfId="0" applyFont="1" applyBorder="1" applyAlignment="1">
      <alignment horizontal="center" vertical="center"/>
    </xf>
    <xf numFmtId="0" fontId="40" fillId="0" borderId="0" xfId="0" applyFont="1" applyAlignment="1">
      <alignment horizontal="right" vertical="center"/>
    </xf>
    <xf numFmtId="0" fontId="40" fillId="0" borderId="0" xfId="0" applyFont="1" applyAlignment="1">
      <alignment horizontal="center" vertical="center"/>
    </xf>
    <xf numFmtId="0" fontId="40" fillId="0" borderId="56" xfId="0" applyFont="1" applyBorder="1" applyAlignment="1">
      <alignment horizontal="right" vertical="center"/>
    </xf>
    <xf numFmtId="0" fontId="40" fillId="0" borderId="56" xfId="0" applyFont="1" applyBorder="1" applyAlignment="1">
      <alignment horizontal="center" vertical="center"/>
    </xf>
    <xf numFmtId="0" fontId="4" fillId="0" borderId="54" xfId="0" applyFont="1" applyBorder="1" applyAlignment="1">
      <alignment horizontal="left" vertical="top"/>
    </xf>
    <xf numFmtId="0" fontId="4" fillId="0" borderId="53" xfId="0" applyFont="1" applyBorder="1" applyAlignment="1">
      <alignment horizontal="left" vertical="top"/>
    </xf>
    <xf numFmtId="0" fontId="4" fillId="0" borderId="0" xfId="0" applyFont="1" applyAlignment="1">
      <alignment horizontal="left" vertical="top"/>
    </xf>
    <xf numFmtId="165" fontId="4" fillId="0" borderId="12" xfId="0" applyNumberFormat="1" applyFont="1" applyBorder="1" applyAlignment="1">
      <alignment horizontal="center" vertical="center"/>
    </xf>
    <xf numFmtId="0" fontId="4" fillId="0" borderId="84" xfId="0" applyFont="1" applyBorder="1" applyAlignment="1">
      <alignment horizontal="left" vertical="center"/>
    </xf>
    <xf numFmtId="0" fontId="4" fillId="0" borderId="43" xfId="0" applyFont="1" applyBorder="1" applyAlignment="1">
      <alignment horizontal="left" vertical="center"/>
    </xf>
    <xf numFmtId="0" fontId="4" fillId="0" borderId="13" xfId="0" applyFont="1" applyBorder="1" applyAlignment="1">
      <alignment horizontal="left" vertical="center"/>
    </xf>
    <xf numFmtId="0" fontId="4" fillId="0" borderId="15" xfId="0" applyFont="1" applyBorder="1" applyAlignment="1">
      <alignment horizontal="left" vertical="center"/>
    </xf>
    <xf numFmtId="0" fontId="4" fillId="0" borderId="40" xfId="0" applyFont="1" applyBorder="1" applyAlignment="1">
      <alignment horizontal="left" vertical="center"/>
    </xf>
    <xf numFmtId="0" fontId="4" fillId="0" borderId="45" xfId="0" applyFont="1" applyBorder="1" applyAlignment="1">
      <alignment horizontal="left" vertical="center"/>
    </xf>
    <xf numFmtId="164" fontId="0" fillId="2" borderId="0" xfId="0" applyNumberFormat="1" applyFill="1" applyAlignment="1">
      <alignment horizontal="center" vertical="center" wrapText="1"/>
    </xf>
    <xf numFmtId="0" fontId="0" fillId="0" borderId="0" xfId="0" applyAlignment="1">
      <alignment horizontal="center" vertical="center" wrapText="1"/>
    </xf>
    <xf numFmtId="164" fontId="0" fillId="0" borderId="0" xfId="0" applyNumberFormat="1" applyAlignment="1">
      <alignment horizontal="center" vertical="center" wrapText="1"/>
    </xf>
    <xf numFmtId="164" fontId="16" fillId="0" borderId="0" xfId="0" applyNumberFormat="1" applyFont="1"/>
    <xf numFmtId="0" fontId="0" fillId="0" borderId="0" xfId="0" applyAlignment="1">
      <alignment wrapText="1"/>
    </xf>
    <xf numFmtId="0" fontId="9" fillId="0" borderId="0" xfId="0" applyFont="1" applyAlignment="1">
      <alignment horizontal="center" vertical="center" wrapText="1"/>
    </xf>
    <xf numFmtId="0" fontId="16" fillId="0" borderId="0" xfId="0" applyFont="1" applyAlignment="1">
      <alignment wrapText="1"/>
    </xf>
    <xf numFmtId="0" fontId="9" fillId="0" borderId="0" xfId="0" applyFont="1" applyAlignment="1">
      <alignment wrapText="1"/>
    </xf>
    <xf numFmtId="0" fontId="42" fillId="0" borderId="0" xfId="0" applyFont="1" applyAlignment="1">
      <alignment wrapText="1"/>
    </xf>
    <xf numFmtId="0" fontId="16" fillId="0" borderId="0" xfId="0" applyFont="1"/>
    <xf numFmtId="0" fontId="37" fillId="0" borderId="0" xfId="0" applyFont="1" applyAlignment="1">
      <alignment horizontal="center" vertical="center" wrapText="1"/>
    </xf>
    <xf numFmtId="0" fontId="4" fillId="7" borderId="0" xfId="0" applyFont="1" applyFill="1" applyAlignment="1">
      <alignment horizontal="left" vertical="center"/>
    </xf>
    <xf numFmtId="0" fontId="39" fillId="0" borderId="0" xfId="0" applyFont="1" applyAlignment="1">
      <alignment vertical="center"/>
    </xf>
    <xf numFmtId="0" fontId="27" fillId="0" borderId="0" xfId="0" applyFont="1" applyAlignment="1">
      <alignment horizontal="center" vertical="center"/>
    </xf>
    <xf numFmtId="0" fontId="4" fillId="22" borderId="71" xfId="0" applyFont="1" applyFill="1" applyBorder="1" applyAlignment="1">
      <alignment horizontal="left" vertical="center"/>
    </xf>
    <xf numFmtId="0" fontId="4" fillId="22" borderId="72" xfId="0" applyFont="1" applyFill="1" applyBorder="1" applyAlignment="1">
      <alignment horizontal="left" vertical="center"/>
    </xf>
    <xf numFmtId="0" fontId="4" fillId="22" borderId="70" xfId="0" applyFont="1" applyFill="1" applyBorder="1" applyAlignment="1">
      <alignment horizontal="left" vertical="center"/>
    </xf>
    <xf numFmtId="0" fontId="24" fillId="22" borderId="71" xfId="0" applyFont="1" applyFill="1" applyBorder="1" applyAlignment="1">
      <alignment horizontal="center" vertical="center"/>
    </xf>
    <xf numFmtId="0" fontId="13" fillId="0" borderId="0" xfId="0" applyFont="1" applyAlignment="1" applyProtection="1">
      <alignment horizontal="right" vertical="center"/>
      <protection locked="0"/>
    </xf>
    <xf numFmtId="0" fontId="4" fillId="23" borderId="0" xfId="0" applyFont="1" applyFill="1" applyAlignment="1">
      <alignment horizontal="left" vertical="center"/>
    </xf>
    <xf numFmtId="0" fontId="4" fillId="24" borderId="50" xfId="0" applyFont="1" applyFill="1" applyBorder="1" applyAlignment="1">
      <alignment horizontal="center" vertical="center" wrapText="1"/>
    </xf>
    <xf numFmtId="2" fontId="0" fillId="24" borderId="0" xfId="0" applyNumberFormat="1" applyFill="1"/>
    <xf numFmtId="0" fontId="0" fillId="24" borderId="0" xfId="0" applyFill="1"/>
    <xf numFmtId="0" fontId="0" fillId="0" borderId="0" xfId="0" quotePrefix="1"/>
    <xf numFmtId="0" fontId="37" fillId="0" borderId="0" xfId="0" applyFont="1" applyAlignment="1">
      <alignment vertical="center" wrapText="1"/>
    </xf>
    <xf numFmtId="1" fontId="0" fillId="0" borderId="0" xfId="0" applyNumberFormat="1" applyAlignment="1">
      <alignment horizontal="center"/>
    </xf>
    <xf numFmtId="0" fontId="44" fillId="15" borderId="0" xfId="0" applyFont="1" applyFill="1"/>
    <xf numFmtId="0" fontId="44" fillId="15" borderId="0" xfId="0" applyFont="1" applyFill="1" applyAlignment="1">
      <alignment horizontal="center" vertical="center"/>
    </xf>
    <xf numFmtId="0" fontId="47" fillId="15" borderId="0" xfId="0" applyFont="1" applyFill="1" applyAlignment="1">
      <alignment horizontal="center"/>
    </xf>
    <xf numFmtId="0" fontId="0" fillId="2" borderId="0" xfId="0" applyFill="1"/>
    <xf numFmtId="0" fontId="21" fillId="2" borderId="0" xfId="0" applyFont="1" applyFill="1" applyAlignment="1">
      <alignment horizontal="left" vertical="center"/>
    </xf>
    <xf numFmtId="0" fontId="0" fillId="2" borderId="0" xfId="0" applyFill="1" applyAlignment="1">
      <alignment horizontal="left"/>
    </xf>
    <xf numFmtId="0" fontId="0" fillId="2" borderId="0" xfId="0" applyFill="1" applyAlignment="1">
      <alignment horizontal="left" vertical="center" wrapText="1"/>
    </xf>
    <xf numFmtId="0" fontId="0" fillId="0" borderId="0" xfId="0" applyAlignment="1">
      <alignment horizontal="left" vertical="center" wrapText="1"/>
    </xf>
    <xf numFmtId="0" fontId="0" fillId="2" borderId="0" xfId="0" applyFill="1" applyAlignment="1">
      <alignment horizontal="left" vertical="center"/>
    </xf>
    <xf numFmtId="0" fontId="0" fillId="2" borderId="0" xfId="0" applyFill="1" applyAlignment="1">
      <alignment horizontal="left" wrapText="1"/>
    </xf>
    <xf numFmtId="0" fontId="45" fillId="0" borderId="0" xfId="3"/>
    <xf numFmtId="0" fontId="49" fillId="15" borderId="0" xfId="0" applyFont="1" applyFill="1" applyAlignment="1">
      <alignment horizontal="center" vertical="center"/>
    </xf>
    <xf numFmtId="0" fontId="0" fillId="2" borderId="0" xfId="0" applyFill="1" applyAlignment="1">
      <alignment horizontal="left" vertical="center" wrapText="1"/>
    </xf>
    <xf numFmtId="0" fontId="45" fillId="2" borderId="0" xfId="3" applyFill="1" applyAlignment="1">
      <alignment horizontal="left" vertical="center" wrapText="1"/>
    </xf>
    <xf numFmtId="0" fontId="0" fillId="2" borderId="0" xfId="0" applyFill="1" applyAlignment="1">
      <alignment horizontal="left" wrapText="1"/>
    </xf>
    <xf numFmtId="0" fontId="44" fillId="15" borderId="0" xfId="0" applyFont="1" applyFill="1" applyAlignment="1">
      <alignment horizontal="center" wrapText="1"/>
    </xf>
    <xf numFmtId="0" fontId="46" fillId="0" borderId="0" xfId="0" applyFont="1" applyAlignment="1">
      <alignment horizontal="center" vertical="center"/>
    </xf>
    <xf numFmtId="0" fontId="48" fillId="15" borderId="0" xfId="0" applyFont="1" applyFill="1" applyAlignment="1">
      <alignment horizontal="center" wrapText="1"/>
    </xf>
    <xf numFmtId="0" fontId="0" fillId="2" borderId="0" xfId="0" applyFill="1" applyAlignment="1">
      <alignment horizontal="center"/>
    </xf>
    <xf numFmtId="0" fontId="12"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horizontal="left" vertical="top" wrapText="1"/>
    </xf>
    <xf numFmtId="0" fontId="21" fillId="0" borderId="76" xfId="0" applyFont="1" applyBorder="1" applyAlignment="1">
      <alignment horizontal="right" vertical="center"/>
    </xf>
    <xf numFmtId="0" fontId="21" fillId="0" borderId="77" xfId="0" applyFont="1" applyBorder="1" applyAlignment="1">
      <alignment horizontal="right" vertical="center"/>
    </xf>
    <xf numFmtId="0" fontId="21" fillId="0" borderId="68" xfId="0" applyFont="1" applyBorder="1" applyAlignment="1">
      <alignment horizontal="right" vertical="center"/>
    </xf>
    <xf numFmtId="0" fontId="21" fillId="0" borderId="56" xfId="0" applyFont="1" applyBorder="1" applyAlignment="1">
      <alignment horizontal="right" vertical="center"/>
    </xf>
    <xf numFmtId="0" fontId="4" fillId="0" borderId="81" xfId="0" applyFont="1" applyBorder="1" applyAlignment="1">
      <alignment horizontal="center" vertical="center"/>
    </xf>
    <xf numFmtId="0" fontId="4" fillId="0" borderId="77" xfId="0" applyFont="1" applyBorder="1" applyAlignment="1">
      <alignment horizontal="center" vertical="center"/>
    </xf>
    <xf numFmtId="0" fontId="4" fillId="0" borderId="83" xfId="0" applyFont="1" applyBorder="1" applyAlignment="1">
      <alignment horizontal="center" vertical="center"/>
    </xf>
    <xf numFmtId="0" fontId="4" fillId="0" borderId="56" xfId="0" applyFont="1" applyBorder="1" applyAlignment="1">
      <alignment horizontal="center" vertical="center"/>
    </xf>
    <xf numFmtId="0" fontId="12" fillId="0" borderId="0" xfId="0" applyFont="1" applyAlignment="1">
      <alignment horizontal="left" wrapText="1"/>
    </xf>
    <xf numFmtId="0" fontId="21" fillId="22" borderId="79" xfId="0" applyFont="1" applyFill="1" applyBorder="1" applyAlignment="1">
      <alignment horizontal="center" vertical="center"/>
    </xf>
    <xf numFmtId="0" fontId="21" fillId="22" borderId="71" xfId="0" applyFont="1" applyFill="1" applyBorder="1" applyAlignment="1">
      <alignment horizontal="center" vertical="center"/>
    </xf>
    <xf numFmtId="0" fontId="4" fillId="0" borderId="80" xfId="0" applyFont="1" applyBorder="1" applyAlignment="1">
      <alignment horizontal="center" vertical="center"/>
    </xf>
    <xf numFmtId="0" fontId="4" fillId="0" borderId="74" xfId="0" applyFont="1" applyBorder="1" applyAlignment="1">
      <alignment horizontal="center" vertical="center"/>
    </xf>
    <xf numFmtId="0" fontId="21" fillId="0" borderId="73" xfId="0" applyFont="1" applyBorder="1" applyAlignment="1">
      <alignment horizontal="right" vertical="center"/>
    </xf>
    <xf numFmtId="0" fontId="21" fillId="0" borderId="74" xfId="0" applyFont="1" applyBorder="1" applyAlignment="1">
      <alignment horizontal="right" vertical="center"/>
    </xf>
    <xf numFmtId="0" fontId="26" fillId="16" borderId="54" xfId="0" applyFont="1" applyFill="1" applyBorder="1" applyAlignment="1" applyProtection="1">
      <alignment horizontal="center" vertical="center"/>
      <protection hidden="1"/>
    </xf>
    <xf numFmtId="0" fontId="26" fillId="16" borderId="0" xfId="0" applyFont="1" applyFill="1" applyAlignment="1" applyProtection="1">
      <alignment horizontal="center" vertical="center"/>
      <protection hidden="1"/>
    </xf>
    <xf numFmtId="9" fontId="24" fillId="0" borderId="0" xfId="2" applyFont="1" applyBorder="1" applyAlignment="1">
      <alignment horizontal="center" vertical="center"/>
    </xf>
    <xf numFmtId="0" fontId="38" fillId="0" borderId="62" xfId="0" applyFont="1" applyBorder="1" applyAlignment="1">
      <alignment horizontal="center" vertical="center" wrapText="1"/>
    </xf>
    <xf numFmtId="0" fontId="38" fillId="0" borderId="0" xfId="0" applyFont="1" applyAlignment="1">
      <alignment horizontal="center" vertical="center" wrapText="1"/>
    </xf>
    <xf numFmtId="0" fontId="21" fillId="0" borderId="0" xfId="0" applyFont="1" applyAlignment="1">
      <alignment horizontal="center" vertical="center"/>
    </xf>
    <xf numFmtId="14" fontId="15" fillId="0" borderId="0" xfId="0" applyNumberFormat="1" applyFont="1" applyAlignment="1">
      <alignment horizontal="center" vertical="center"/>
    </xf>
    <xf numFmtId="0" fontId="35" fillId="17" borderId="59" xfId="0" applyFont="1" applyFill="1" applyBorder="1" applyAlignment="1" applyProtection="1">
      <alignment horizontal="center" vertical="center"/>
      <protection locked="0"/>
    </xf>
    <xf numFmtId="0" fontId="35" fillId="17" borderId="58" xfId="0" applyFont="1" applyFill="1" applyBorder="1" applyAlignment="1" applyProtection="1">
      <alignment horizontal="center" vertical="center"/>
      <protection locked="0"/>
    </xf>
    <xf numFmtId="0" fontId="35" fillId="17" borderId="60" xfId="0" applyFont="1" applyFill="1" applyBorder="1" applyAlignment="1" applyProtection="1">
      <alignment horizontal="center" vertical="center"/>
      <protection locked="0"/>
    </xf>
    <xf numFmtId="0" fontId="13" fillId="0" borderId="0" xfId="0" applyFont="1" applyAlignment="1">
      <alignment horizontal="center" vertical="center"/>
    </xf>
    <xf numFmtId="0" fontId="43" fillId="17" borderId="84" xfId="0" applyFont="1" applyFill="1" applyBorder="1" applyAlignment="1" applyProtection="1">
      <alignment horizontal="center" vertical="center"/>
      <protection locked="0"/>
    </xf>
    <xf numFmtId="0" fontId="43" fillId="17" borderId="43" xfId="0" applyFont="1" applyFill="1" applyBorder="1" applyAlignment="1" applyProtection="1">
      <alignment horizontal="center" vertical="center"/>
      <protection locked="0"/>
    </xf>
    <xf numFmtId="0" fontId="21" fillId="21" borderId="35" xfId="0" applyFont="1" applyFill="1" applyBorder="1" applyAlignment="1">
      <alignment horizontal="center" vertical="center"/>
    </xf>
    <xf numFmtId="0" fontId="4" fillId="21" borderId="31" xfId="0" applyFont="1" applyFill="1" applyBorder="1" applyAlignment="1">
      <alignment horizontal="right" vertical="center"/>
    </xf>
    <xf numFmtId="0" fontId="4" fillId="21" borderId="31" xfId="0" applyFont="1" applyFill="1" applyBorder="1" applyAlignment="1">
      <alignment horizontal="center" vertical="center"/>
    </xf>
    <xf numFmtId="9" fontId="4" fillId="21" borderId="0" xfId="0" applyNumberFormat="1" applyFont="1" applyFill="1" applyAlignment="1">
      <alignment horizontal="center" vertical="center"/>
    </xf>
    <xf numFmtId="0" fontId="4" fillId="17" borderId="13" xfId="0" applyFont="1" applyFill="1" applyBorder="1" applyAlignment="1">
      <alignment horizontal="center" vertical="center"/>
    </xf>
    <xf numFmtId="0" fontId="4" fillId="17" borderId="15" xfId="0" applyFont="1" applyFill="1" applyBorder="1" applyAlignment="1">
      <alignment horizontal="center" vertical="center"/>
    </xf>
    <xf numFmtId="0" fontId="37" fillId="0" borderId="0" xfId="0" applyFont="1" applyAlignment="1">
      <alignment horizontal="center" vertical="center" wrapText="1"/>
    </xf>
    <xf numFmtId="0" fontId="37" fillId="0" borderId="62" xfId="0" applyFont="1" applyBorder="1" applyAlignment="1">
      <alignment horizontal="center" vertical="center" wrapText="1"/>
    </xf>
    <xf numFmtId="0" fontId="39" fillId="0" borderId="0" xfId="0" applyFont="1" applyAlignment="1">
      <alignment horizontal="center" vertical="center"/>
    </xf>
    <xf numFmtId="0" fontId="7" fillId="5" borderId="36" xfId="0" applyFont="1" applyFill="1" applyBorder="1" applyAlignment="1">
      <alignment horizontal="center" vertical="center" wrapText="1"/>
    </xf>
    <xf numFmtId="0" fontId="7" fillId="5" borderId="35" xfId="0" applyFont="1" applyFill="1" applyBorder="1" applyAlignment="1">
      <alignment horizontal="center" vertical="center" wrapText="1"/>
    </xf>
    <xf numFmtId="0" fontId="7" fillId="5" borderId="37" xfId="0" applyFont="1" applyFill="1" applyBorder="1" applyAlignment="1">
      <alignment horizontal="center" vertical="center" wrapText="1"/>
    </xf>
    <xf numFmtId="0" fontId="4" fillId="0" borderId="36"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2" xfId="0" applyFont="1" applyBorder="1" applyAlignment="1">
      <alignment horizontal="center" vertical="center" wrapText="1"/>
    </xf>
    <xf numFmtId="0" fontId="0" fillId="2" borderId="36"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0" xfId="0" applyFill="1" applyAlignment="1">
      <alignment horizontal="center" vertical="center" wrapText="1"/>
    </xf>
    <xf numFmtId="0" fontId="0" fillId="0" borderId="31" xfId="0" applyBorder="1" applyAlignment="1">
      <alignment horizontal="center" vertical="center"/>
    </xf>
    <xf numFmtId="0" fontId="0" fillId="0" borderId="54" xfId="0" applyBorder="1" applyAlignment="1">
      <alignment horizontal="center" vertical="top" wrapText="1"/>
    </xf>
    <xf numFmtId="0" fontId="0" fillId="0" borderId="0" xfId="0" applyAlignment="1">
      <alignment horizontal="center" vertical="top" wrapText="1"/>
    </xf>
    <xf numFmtId="0" fontId="0" fillId="0" borderId="53" xfId="0" applyBorder="1" applyAlignment="1">
      <alignment horizontal="center" vertical="top" wrapText="1"/>
    </xf>
    <xf numFmtId="0" fontId="0" fillId="0" borderId="33" xfId="0" applyBorder="1" applyAlignment="1">
      <alignment horizontal="center" vertical="top" wrapText="1"/>
    </xf>
    <xf numFmtId="0" fontId="0" fillId="0" borderId="31" xfId="0" applyBorder="1" applyAlignment="1">
      <alignment horizontal="center" vertical="top" wrapText="1"/>
    </xf>
    <xf numFmtId="0" fontId="0" fillId="0" borderId="44" xfId="0" applyBorder="1" applyAlignment="1">
      <alignment horizontal="center" vertical="top" wrapText="1"/>
    </xf>
    <xf numFmtId="0" fontId="9" fillId="4" borderId="1" xfId="0" applyFont="1" applyFill="1" applyBorder="1" applyAlignment="1">
      <alignment horizontal="center" vertical="center"/>
    </xf>
    <xf numFmtId="0" fontId="9" fillId="4" borderId="29" xfId="0" applyFont="1" applyFill="1" applyBorder="1" applyAlignment="1">
      <alignment horizontal="center" vertical="center"/>
    </xf>
    <xf numFmtId="0" fontId="9" fillId="4" borderId="38" xfId="0" applyFont="1" applyFill="1" applyBorder="1" applyAlignment="1">
      <alignment horizontal="center" vertical="center"/>
    </xf>
    <xf numFmtId="0" fontId="9" fillId="4" borderId="32" xfId="0" applyFont="1" applyFill="1" applyBorder="1" applyAlignment="1">
      <alignment horizontal="center" vertical="center"/>
    </xf>
    <xf numFmtId="0" fontId="11" fillId="0" borderId="0" xfId="0" applyFont="1" applyAlignment="1">
      <alignment horizontal="left" vertical="center" wrapText="1"/>
    </xf>
    <xf numFmtId="0" fontId="5" fillId="6" borderId="19" xfId="0" applyFont="1" applyFill="1" applyBorder="1" applyAlignment="1">
      <alignment horizontal="center" vertical="center"/>
    </xf>
    <xf numFmtId="0" fontId="5" fillId="6" borderId="2" xfId="0" applyFont="1" applyFill="1" applyBorder="1" applyAlignment="1">
      <alignment horizontal="center" vertical="center"/>
    </xf>
    <xf numFmtId="0" fontId="5" fillId="5"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0" borderId="0" xfId="0" applyAlignment="1">
      <alignment horizontal="center"/>
    </xf>
    <xf numFmtId="0" fontId="5"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43"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4" xfId="0"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5" fillId="5" borderId="0" xfId="0" applyFont="1" applyFill="1" applyAlignment="1">
      <alignment horizontal="center" vertical="center" wrapText="1"/>
    </xf>
    <xf numFmtId="0" fontId="5" fillId="5" borderId="45" xfId="0" applyFont="1" applyFill="1" applyBorder="1" applyAlignment="1">
      <alignment horizontal="center" vertical="center" wrapText="1"/>
    </xf>
  </cellXfs>
  <cellStyles count="4">
    <cellStyle name="Collegamento ipertestuale" xfId="3" builtinId="8"/>
    <cellStyle name="Normale" xfId="0" builtinId="0"/>
    <cellStyle name="Normale 4" xfId="1" xr:uid="{00000000-0005-0000-0000-000001000000}"/>
    <cellStyle name="Percentuale" xfId="2" builtinId="5"/>
  </cellStyles>
  <dxfs count="5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patternType="none">
          <bgColor auto="1"/>
        </patternFill>
      </fill>
    </dxf>
    <dxf>
      <font>
        <color auto="1"/>
      </font>
      <fill>
        <patternFill patternType="solid">
          <bgColor theme="0" tint="-4.9989318521683403E-2"/>
        </patternFill>
      </fill>
    </dxf>
    <dxf>
      <font>
        <color theme="0"/>
      </font>
    </dxf>
    <dxf>
      <font>
        <color auto="1"/>
      </font>
      <fill>
        <patternFill patternType="none">
          <bgColor auto="1"/>
        </patternFill>
      </fill>
      <border>
        <left style="hair">
          <color theme="4"/>
        </left>
        <right style="hair">
          <color auto="1"/>
        </right>
        <top style="hair">
          <color auto="1"/>
        </top>
        <bottom style="hair">
          <color auto="1"/>
        </bottom>
      </border>
    </dxf>
    <dxf>
      <font>
        <b/>
        <i val="0"/>
        <color rgb="FF0070C0"/>
      </font>
      <fill>
        <patternFill>
          <bgColor theme="8" tint="0.79998168889431442"/>
        </patternFill>
      </fill>
      <border>
        <left style="thin">
          <color theme="4"/>
        </left>
        <right style="thin">
          <color theme="4"/>
        </right>
        <top style="thin">
          <color theme="4"/>
        </top>
        <bottom style="thin">
          <color theme="4"/>
        </bottom>
      </border>
    </dxf>
    <dxf>
      <font>
        <color theme="1"/>
      </font>
    </dxf>
    <dxf>
      <font>
        <color rgb="FFD74301"/>
      </font>
      <fill>
        <patternFill>
          <bgColor rgb="FFFBCDCD"/>
        </patternFill>
      </fill>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thin">
          <color theme="4"/>
        </left>
        <right style="hair">
          <color auto="1"/>
        </right>
        <top style="hair">
          <color auto="1"/>
        </top>
        <bottom style="hair">
          <color auto="1"/>
        </bottom>
      </border>
    </dxf>
    <dxf>
      <font>
        <color theme="0"/>
      </font>
      <fill>
        <patternFill patternType="none">
          <bgColor auto="1"/>
        </patternFill>
      </fill>
      <border>
        <left style="thin">
          <color rgb="FF0070C0"/>
        </left>
        <vertical/>
        <horizontal/>
      </border>
    </dxf>
    <dxf>
      <font>
        <b val="0"/>
        <i/>
        <color auto="1"/>
      </font>
      <fill>
        <patternFill patternType="none">
          <bgColor auto="1"/>
        </patternFill>
      </fill>
      <border>
        <left/>
        <right/>
        <top/>
        <bottom/>
      </border>
    </dxf>
    <dxf>
      <font>
        <color theme="0"/>
      </font>
      <fill>
        <patternFill patternType="none">
          <bgColor auto="1"/>
        </patternFill>
      </fill>
    </dxf>
    <dxf>
      <font>
        <color theme="0"/>
      </font>
      <fill>
        <patternFill patternType="none">
          <bgColor auto="1"/>
        </patternFill>
      </fill>
      <border>
        <left style="thin">
          <color rgb="FF0070C0"/>
        </left>
        <vertical/>
        <horizontal/>
      </border>
    </dxf>
    <dxf>
      <font>
        <color theme="0"/>
      </font>
      <fill>
        <patternFill patternType="none">
          <bgColor auto="1"/>
        </patternFill>
      </fill>
      <border>
        <left style="thin">
          <color rgb="FF0070C0"/>
        </left>
        <right/>
        <top/>
        <bottom/>
      </border>
    </dxf>
    <dxf>
      <font>
        <color auto="1"/>
      </font>
      <fill>
        <patternFill patternType="none">
          <bgColor auto="1"/>
        </patternFill>
      </fill>
      <border>
        <left style="hair">
          <color auto="1"/>
        </left>
        <right style="hair">
          <color auto="1"/>
        </right>
        <top style="hair">
          <color auto="1"/>
        </top>
        <bottom style="hair">
          <color auto="1"/>
        </bottom>
      </border>
    </dxf>
    <dxf>
      <font>
        <color rgb="FFD74301"/>
      </font>
      <fill>
        <patternFill>
          <bgColor rgb="FFFBCDCD"/>
        </patternFill>
      </fill>
    </dxf>
    <dxf>
      <font>
        <color rgb="FFD74301"/>
      </font>
      <fill>
        <patternFill>
          <bgColor rgb="FFFBCDCD"/>
        </patternFill>
      </fill>
    </dxf>
    <dxf>
      <font>
        <color rgb="FFD74301"/>
      </font>
      <fill>
        <patternFill>
          <bgColor rgb="FFFECDCD"/>
        </patternFill>
      </fill>
    </dxf>
    <dxf>
      <font>
        <color rgb="FFD74301"/>
      </font>
      <fill>
        <patternFill>
          <bgColor rgb="FFFECDCD"/>
        </patternFill>
      </fill>
    </dxf>
    <dxf>
      <font>
        <color rgb="FFD74301"/>
      </font>
      <fill>
        <patternFill>
          <bgColor rgb="FFFECDCD"/>
        </patternFill>
      </fill>
    </dxf>
    <dxf>
      <font>
        <color rgb="FFD74301"/>
      </font>
      <fill>
        <patternFill>
          <bgColor rgb="FFFECDCD"/>
        </patternFill>
      </fill>
    </dxf>
    <dxf>
      <font>
        <b val="0"/>
        <i/>
        <color theme="0"/>
      </font>
      <fill>
        <patternFill patternType="none">
          <bgColor auto="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val="0"/>
        <i/>
        <color auto="1"/>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4.9989318521683403E-2"/>
      </font>
      <fill>
        <patternFill patternType="solid">
          <bgColor theme="0" tint="-4.9989318521683403E-2"/>
        </patternFill>
      </fill>
    </dxf>
    <dxf>
      <font>
        <color theme="0" tint="-4.9989318521683403E-2"/>
      </font>
      <fill>
        <patternFill patternType="solid">
          <bgColor theme="0" tint="-4.9989318521683403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0"/>
      </font>
      <fill>
        <patternFill patternType="none">
          <bgColor auto="1"/>
        </patternFill>
      </fill>
      <border>
        <left/>
        <right/>
        <top/>
        <bottom/>
      </border>
    </dxf>
  </dxfs>
  <tableStyles count="0" defaultTableStyle="TableStyleMedium2" defaultPivotStyle="PivotStyleLight16"/>
  <colors>
    <mruColors>
      <color rgb="FFEAEAEA"/>
      <color rgb="FFDDDDDD"/>
      <color rgb="FFFBCDCD"/>
      <color rgb="FFD74301"/>
      <color rgb="FFF9ADAD"/>
      <color rgb="FFFFCDCD"/>
      <color rgb="FFFECD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10/relationships/person" Target="persons/person.xml"/><Relationship Id="rId28" Type="http://schemas.microsoft.com/office/2006/relationships/vbaProject" Target="vbaProject.bin"/><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 Id="rId27"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hyperlink" Target="#'LOCK-T'!M34"/><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3.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png"/><Relationship Id="rId5"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5.png"/><Relationship Id="rId9" Type="http://schemas.microsoft.com/office/2017/06/relationships/model3d" Target="../media/model3d1.glb"/><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9.png"/><Relationship Id="rId3" Type="http://schemas.openxmlformats.org/officeDocument/2006/relationships/image" Target="../media/image4.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30.png"/><Relationship Id="rId7" Type="http://schemas.openxmlformats.org/officeDocument/2006/relationships/image" Target="../media/image35.png"/><Relationship Id="rId2" Type="http://schemas.openxmlformats.org/officeDocument/2006/relationships/image" Target="../media/image31.png"/><Relationship Id="rId1" Type="http://schemas.openxmlformats.org/officeDocument/2006/relationships/image" Target="../media/image34.png"/><Relationship Id="rId6" Type="http://schemas.openxmlformats.org/officeDocument/2006/relationships/image" Target="../media/image36.png"/><Relationship Id="rId5" Type="http://schemas.openxmlformats.org/officeDocument/2006/relationships/image" Target="../media/image33.png"/><Relationship Id="rId4" Type="http://schemas.openxmlformats.org/officeDocument/2006/relationships/image" Target="../media/image3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42.png"/><Relationship Id="rId1" Type="http://schemas.openxmlformats.org/officeDocument/2006/relationships/image" Target="../media/image37.jpe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3.png"/></Relationships>
</file>

<file path=xl/drawings/_rels/drawing7.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drawing8.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drawing9.xml.rels><?xml version="1.0" encoding="UTF-8" standalone="yes"?>
<Relationships xmlns="http://schemas.openxmlformats.org/package/2006/relationships"><Relationship Id="rId1"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1368885</xdr:colOff>
      <xdr:row>5</xdr:row>
      <xdr:rowOff>124406</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7792" t="6154" r="5195" b="7679"/>
        <a:stretch/>
      </xdr:blipFill>
      <xdr:spPr>
        <a:xfrm>
          <a:off x="428625" y="161925"/>
          <a:ext cx="1797510" cy="772106"/>
        </a:xfrm>
        <a:prstGeom prst="rect">
          <a:avLst/>
        </a:prstGeom>
      </xdr:spPr>
    </xdr:pic>
    <xdr:clientData/>
  </xdr:twoCellAnchor>
  <xdr:twoCellAnchor>
    <xdr:from>
      <xdr:col>3</xdr:col>
      <xdr:colOff>1857376</xdr:colOff>
      <xdr:row>62</xdr:row>
      <xdr:rowOff>28575</xdr:rowOff>
    </xdr:from>
    <xdr:to>
      <xdr:col>3</xdr:col>
      <xdr:colOff>3714750</xdr:colOff>
      <xdr:row>64</xdr:row>
      <xdr:rowOff>123825</xdr:rowOff>
    </xdr:to>
    <xdr:sp macro="" textlink="">
      <xdr:nvSpPr>
        <xdr:cNvPr id="3" name="CasellaDiTesto 2">
          <a:hlinkClick xmlns:r="http://schemas.openxmlformats.org/officeDocument/2006/relationships" r:id="rId2"/>
          <a:extLst>
            <a:ext uri="{FF2B5EF4-FFF2-40B4-BE49-F238E27FC236}">
              <a16:creationId xmlns:a16="http://schemas.microsoft.com/office/drawing/2014/main" id="{00000000-0008-0000-0000-000003000000}"/>
            </a:ext>
          </a:extLst>
        </xdr:cNvPr>
        <xdr:cNvSpPr txBox="1"/>
      </xdr:nvSpPr>
      <xdr:spPr>
        <a:xfrm>
          <a:off x="4133851" y="27870150"/>
          <a:ext cx="1857374"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it-IT" sz="1400" b="1" u="sng">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42</xdr:col>
      <xdr:colOff>598714</xdr:colOff>
      <xdr:row>12</xdr:row>
      <xdr:rowOff>13608</xdr:rowOff>
    </xdr:from>
    <xdr:to>
      <xdr:col>53</xdr:col>
      <xdr:colOff>1169</xdr:colOff>
      <xdr:row>19</xdr:row>
      <xdr:rowOff>57319</xdr:rowOff>
    </xdr:to>
    <xdr:pic>
      <xdr:nvPicPr>
        <xdr:cNvPr id="2" name="Immagin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8108164" y="4357008"/>
          <a:ext cx="8308330" cy="11962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38</xdr:col>
      <xdr:colOff>707572</xdr:colOff>
      <xdr:row>8</xdr:row>
      <xdr:rowOff>136071</xdr:rowOff>
    </xdr:from>
    <xdr:to>
      <xdr:col>50</xdr:col>
      <xdr:colOff>168763</xdr:colOff>
      <xdr:row>16</xdr:row>
      <xdr:rowOff>20603</xdr:rowOff>
    </xdr:to>
    <xdr:pic>
      <xdr:nvPicPr>
        <xdr:cNvPr id="2" name="Immagin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34943143" y="3129642"/>
          <a:ext cx="9993120" cy="13813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38</xdr:col>
      <xdr:colOff>707572</xdr:colOff>
      <xdr:row>8</xdr:row>
      <xdr:rowOff>136071</xdr:rowOff>
    </xdr:from>
    <xdr:to>
      <xdr:col>50</xdr:col>
      <xdr:colOff>168763</xdr:colOff>
      <xdr:row>16</xdr:row>
      <xdr:rowOff>20603</xdr:rowOff>
    </xdr:to>
    <xdr:pic>
      <xdr:nvPicPr>
        <xdr:cNvPr id="2" name="Immagin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5197597" y="3107871"/>
          <a:ext cx="9948216" cy="13799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143564</xdr:colOff>
      <xdr:row>7</xdr:row>
      <xdr:rowOff>81645</xdr:rowOff>
    </xdr:from>
    <xdr:to>
      <xdr:col>4</xdr:col>
      <xdr:colOff>1744362</xdr:colOff>
      <xdr:row>10</xdr:row>
      <xdr:rowOff>150509</xdr:rowOff>
    </xdr:to>
    <xdr:pic>
      <xdr:nvPicPr>
        <xdr:cNvPr id="2" name="Immagine 1" descr="Immagine che contiene testo, Carattere, Elementi grafici, logo&#10;&#10;Descrizione generata automaticamente">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7792" t="6154" r="5195" b="7679"/>
        <a:stretch/>
      </xdr:blipFill>
      <xdr:spPr>
        <a:xfrm>
          <a:off x="3735850" y="816431"/>
          <a:ext cx="1795380" cy="803648"/>
        </a:xfrm>
        <a:prstGeom prst="rect">
          <a:avLst/>
        </a:prstGeom>
      </xdr:spPr>
    </xdr:pic>
    <xdr:clientData/>
  </xdr:twoCellAnchor>
  <xdr:twoCellAnchor editAs="oneCell">
    <xdr:from>
      <xdr:col>10</xdr:col>
      <xdr:colOff>0</xdr:colOff>
      <xdr:row>205</xdr:row>
      <xdr:rowOff>96774</xdr:rowOff>
    </xdr:from>
    <xdr:to>
      <xdr:col>12</xdr:col>
      <xdr:colOff>1024890</xdr:colOff>
      <xdr:row>215</xdr:row>
      <xdr:rowOff>152804</xdr:rowOff>
    </xdr:to>
    <xdr:pic>
      <xdr:nvPicPr>
        <xdr:cNvPr id="10" name="Immagine 9" descr="Immagine che contiene diagramma, origami, design&#10;&#10;Descrizione generata automaticamente">
          <a:extLst>
            <a:ext uri="{FF2B5EF4-FFF2-40B4-BE49-F238E27FC236}">
              <a16:creationId xmlns:a16="http://schemas.microsoft.com/office/drawing/2014/main" id="{00000000-0008-0000-0100-00000A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467" b="8590"/>
        <a:stretch/>
      </xdr:blipFill>
      <xdr:spPr bwMode="auto">
        <a:xfrm>
          <a:off x="14062364" y="46526819"/>
          <a:ext cx="3414799" cy="2120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218</xdr:row>
      <xdr:rowOff>305</xdr:rowOff>
    </xdr:from>
    <xdr:to>
      <xdr:col>12</xdr:col>
      <xdr:colOff>1024890</xdr:colOff>
      <xdr:row>229</xdr:row>
      <xdr:rowOff>26945</xdr:rowOff>
    </xdr:to>
    <xdr:pic>
      <xdr:nvPicPr>
        <xdr:cNvPr id="13" name="Immagine 12" descr="Immagine che contiene diagramma, origami, design&#10;&#10;Descrizione generata automaticamente">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62364" y="48872214"/>
          <a:ext cx="3414799" cy="2589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295431</xdr:colOff>
      <xdr:row>155</xdr:row>
      <xdr:rowOff>33616</xdr:rowOff>
    </xdr:from>
    <xdr:to>
      <xdr:col>8</xdr:col>
      <xdr:colOff>804794</xdr:colOff>
      <xdr:row>165</xdr:row>
      <xdr:rowOff>453326</xdr:rowOff>
    </xdr:to>
    <xdr:pic>
      <xdr:nvPicPr>
        <xdr:cNvPr id="14" name="Immagine 13" descr="Immagine che contiene diagramma, linea, origami, design&#10;&#10;Descrizione generata automaticamente">
          <a:extLst>
            <a:ext uri="{FF2B5EF4-FFF2-40B4-BE49-F238E27FC236}">
              <a16:creationId xmlns:a16="http://schemas.microsoft.com/office/drawing/2014/main" id="{00000000-0008-0000-0100-00000E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8784" b="6301"/>
        <a:stretch/>
      </xdr:blipFill>
      <xdr:spPr bwMode="auto">
        <a:xfrm>
          <a:off x="9159284" y="37136292"/>
          <a:ext cx="3389275" cy="227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2745443</xdr:colOff>
      <xdr:row>14</xdr:row>
      <xdr:rowOff>0</xdr:rowOff>
    </xdr:from>
    <xdr:to>
      <xdr:col>10</xdr:col>
      <xdr:colOff>880060</xdr:colOff>
      <xdr:row>29</xdr:row>
      <xdr:rowOff>41013</xdr:rowOff>
    </xdr:to>
    <xdr:pic>
      <xdr:nvPicPr>
        <xdr:cNvPr id="5" name="Immagine 4" descr="Immagine che contiene aria aperta, cielo, legno, Asse&#10;&#10;Descrizione generata automaticamente">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5"/>
        <a:srcRect t="12733" b="8184"/>
        <a:stretch/>
      </xdr:blipFill>
      <xdr:spPr>
        <a:xfrm>
          <a:off x="6510619" y="2711824"/>
          <a:ext cx="8388000" cy="3615689"/>
        </a:xfrm>
        <a:prstGeom prst="rect">
          <a:avLst/>
        </a:prstGeom>
      </xdr:spPr>
    </xdr:pic>
    <xdr:clientData/>
  </xdr:twoCellAnchor>
  <xdr:twoCellAnchor editAs="oneCell">
    <xdr:from>
      <xdr:col>4</xdr:col>
      <xdr:colOff>1962781</xdr:colOff>
      <xdr:row>257</xdr:row>
      <xdr:rowOff>61623</xdr:rowOff>
    </xdr:from>
    <xdr:to>
      <xdr:col>10</xdr:col>
      <xdr:colOff>910067</xdr:colOff>
      <xdr:row>267</xdr:row>
      <xdr:rowOff>7405</xdr:rowOff>
    </xdr:to>
    <xdr:pic>
      <xdr:nvPicPr>
        <xdr:cNvPr id="8" name="Immagine 7" descr="Immagine che contiene cerniera&#10;&#10;Descrizione generata automaticamente">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5759174" y="69689373"/>
          <a:ext cx="9228571" cy="2163026"/>
        </a:xfrm>
        <a:prstGeom prst="rect">
          <a:avLst/>
        </a:prstGeom>
      </xdr:spPr>
    </xdr:pic>
    <xdr:clientData/>
  </xdr:twoCellAnchor>
  <xdr:twoCellAnchor editAs="oneCell">
    <xdr:from>
      <xdr:col>4</xdr:col>
      <xdr:colOff>2068288</xdr:colOff>
      <xdr:row>266</xdr:row>
      <xdr:rowOff>124859</xdr:rowOff>
    </xdr:from>
    <xdr:to>
      <xdr:col>10</xdr:col>
      <xdr:colOff>1173670</xdr:colOff>
      <xdr:row>279</xdr:row>
      <xdr:rowOff>201966</xdr:rowOff>
    </xdr:to>
    <xdr:pic>
      <xdr:nvPicPr>
        <xdr:cNvPr id="15" name="Immagine 14" descr="Immagine che contiene design&#10;&#10;Descrizione generata automaticamente con attendibilità bassa">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5864681" y="59329538"/>
          <a:ext cx="9380952" cy="2971429"/>
        </a:xfrm>
        <a:prstGeom prst="rect">
          <a:avLst/>
        </a:prstGeom>
      </xdr:spPr>
    </xdr:pic>
    <xdr:clientData/>
  </xdr:twoCellAnchor>
  <xdr:twoCellAnchor editAs="oneCell">
    <xdr:from>
      <xdr:col>4</xdr:col>
      <xdr:colOff>0</xdr:colOff>
      <xdr:row>2</xdr:row>
      <xdr:rowOff>0</xdr:rowOff>
    </xdr:from>
    <xdr:to>
      <xdr:col>4</xdr:col>
      <xdr:colOff>1792978</xdr:colOff>
      <xdr:row>4</xdr:row>
      <xdr:rowOff>67461</xdr:rowOff>
    </xdr:to>
    <xdr:pic macro="[0]!Immagine3_Click">
      <xdr:nvPicPr>
        <xdr:cNvPr id="4" name="Immagine 3" descr="Immagine che contiene testo, Carattere, Elementi grafici, logo&#10;&#10;Descrizione generata automaticamente">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7792" t="6154" r="5195" b="34128"/>
        <a:stretch/>
      </xdr:blipFill>
      <xdr:spPr>
        <a:xfrm>
          <a:off x="3765176" y="493059"/>
          <a:ext cx="1792978" cy="549090"/>
        </a:xfrm>
        <a:prstGeom prst="rect">
          <a:avLst/>
        </a:prstGeom>
      </xdr:spPr>
    </xdr:pic>
    <xdr:clientData/>
  </xdr:twoCellAnchor>
  <xdr:twoCellAnchor editAs="oneCell">
    <xdr:from>
      <xdr:col>4</xdr:col>
      <xdr:colOff>0</xdr:colOff>
      <xdr:row>293</xdr:row>
      <xdr:rowOff>190499</xdr:rowOff>
    </xdr:from>
    <xdr:to>
      <xdr:col>13</xdr:col>
      <xdr:colOff>0</xdr:colOff>
      <xdr:row>299</xdr:row>
      <xdr:rowOff>80731</xdr:rowOff>
    </xdr:to>
    <xdr:pic>
      <xdr:nvPicPr>
        <xdr:cNvPr id="16" name="Immagin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8"/>
        <a:stretch>
          <a:fillRect/>
        </a:stretch>
      </xdr:blipFill>
      <xdr:spPr>
        <a:xfrm>
          <a:off x="1389529" y="76300852"/>
          <a:ext cx="13824000" cy="1369413"/>
        </a:xfrm>
        <a:prstGeom prst="rect">
          <a:avLst/>
        </a:prstGeom>
      </xdr:spPr>
    </xdr:pic>
    <xdr:clientData/>
  </xdr:twoCellAnchor>
  <xdr:twoCellAnchor editAs="oneCell">
    <xdr:from>
      <xdr:col>11</xdr:col>
      <xdr:colOff>114149</xdr:colOff>
      <xdr:row>35</xdr:row>
      <xdr:rowOff>168853</xdr:rowOff>
    </xdr:from>
    <xdr:to>
      <xdr:col>11</xdr:col>
      <xdr:colOff>874538</xdr:colOff>
      <xdr:row>39</xdr:row>
      <xdr:rowOff>9358</xdr:rowOff>
    </xdr:to>
    <mc:AlternateContent xmlns:mc="http://schemas.openxmlformats.org/markup-compatibility/2006">
      <mc:Choice xmlns:am3d="http://schemas.microsoft.com/office/drawing/2017/model3d" Requires="am3d">
        <xdr:graphicFrame macro="">
          <xdr:nvGraphicFramePr>
            <xdr:cNvPr id="22" name="Modello 3D 21" descr="Stampante">
              <a:extLst>
                <a:ext uri="{FF2B5EF4-FFF2-40B4-BE49-F238E27FC236}">
                  <a16:creationId xmlns:a16="http://schemas.microsoft.com/office/drawing/2014/main" id="{00000000-0008-0000-0100-000016000000}"/>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9">
                <am3d:spPr>
                  <a:xfrm>
                    <a:off x="0" y="0"/>
                    <a:ext cx="760389" cy="707280"/>
                  </a:xfrm>
                  <a:prstGeom prst="rect">
                    <a:avLst/>
                  </a:prstGeom>
                </am3d:spPr>
                <am3d:camera>
                  <am3d:pos x="0" y="0" z="72661754"/>
                  <am3d:up dx="0" dy="36000000" dz="0"/>
                  <am3d:lookAt x="0" y="0" z="0"/>
                  <am3d:perspective fov="2700000"/>
                </am3d:camera>
                <am3d:trans>
                  <am3d:meterPerModelUnit n="9427949" d="1000000"/>
                  <am3d:preTrans dx="0" dy="-12966183" dz="-2395334"/>
                  <am3d:scale>
                    <am3d:sx n="1000000" d="1000000"/>
                    <am3d:sy n="1000000" d="1000000"/>
                    <am3d:sz n="1000000" d="1000000"/>
                  </am3d:scale>
                  <am3d:rot ax="1240381" ay="-2505698" az="-846399"/>
                  <am3d:postTrans dx="0" dy="0" dz="0"/>
                </am3d:trans>
                <am3d:raster rName="Office3DRenderer" rVer="16.0.8326">
                  <am3d:blip r:embed="rId10"/>
                </am3d:raster>
                <am3d:objViewport viewportSz="886843"/>
                <am3d:ambientLight>
                  <am3d:clr>
                    <a:scrgbClr r="50000" g="50000" b="50000"/>
                  </am3d:clr>
                  <am3d:illuminance n="500000" d="1000000"/>
                </am3d:ambientLight>
                <am3d:ptLight rad="0">
                  <am3d:clr>
                    <a:scrgbClr r="100000" g="75000" b="50000"/>
                  </am3d:clr>
                  <am3d:intensity n="9765625" d="1000000"/>
                  <am3d:pos x="21959998" y="70920001" z="16344003"/>
                </am3d:ptLight>
                <am3d:ptLight rad="0">
                  <am3d:clr>
                    <a:scrgbClr r="40000" g="60000" b="95000"/>
                  </am3d:clr>
                  <am3d:intensity n="12250000" d="1000000"/>
                  <am3d:pos x="-37964106" y="51130435" z="57631972"/>
                </am3d:ptLight>
                <am3d:ptLight rad="0">
                  <am3d:clr>
                    <a:scrgbClr r="86837" g="72700" b="100000"/>
                  </am3d:clr>
                  <am3d:intensity n="3125000" d="1000000"/>
                  <am3d:pos x="-37739122" y="58056624" z="-34769649"/>
                </am3d:ptLight>
              </am3d:model3d>
            </a:graphicData>
          </a:graphic>
        </xdr:graphicFrame>
      </mc:Choice>
      <mc:Fallback>
        <xdr:pic>
          <xdr:nvPicPr>
            <xdr:cNvPr id="22" name="Modello 3D 21" descr="Stampante">
              <a:extLst>
                <a:ext uri="{FF2B5EF4-FFF2-40B4-BE49-F238E27FC236}">
                  <a16:creationId xmlns:a16="http://schemas.microsoft.com/office/drawing/2014/main" id="{00000000-0008-0000-0100-000016000000}"/>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10"/>
            <a:stretch>
              <a:fillRect/>
            </a:stretch>
          </xdr:blipFill>
          <xdr:spPr>
            <a:xfrm>
              <a:off x="12944884" y="7699206"/>
              <a:ext cx="760389" cy="703358"/>
            </a:xfrm>
            <a:prstGeom prst="rect">
              <a:avLst/>
            </a:prstGeom>
          </xdr:spPr>
        </xdr:pic>
      </mc:Fallback>
    </mc:AlternateContent>
    <xdr:clientData/>
  </xdr:twoCellAnchor>
  <mc:AlternateContent xmlns:mc="http://schemas.openxmlformats.org/markup-compatibility/2006">
    <mc:Choice xmlns:a14="http://schemas.microsoft.com/office/drawing/2010/main" Requires="a14">
      <xdr:twoCellAnchor>
        <xdr:from>
          <xdr:col>11</xdr:col>
          <xdr:colOff>1162050</xdr:colOff>
          <xdr:row>36</xdr:row>
          <xdr:rowOff>85725</xdr:rowOff>
        </xdr:from>
        <xdr:to>
          <xdr:col>12</xdr:col>
          <xdr:colOff>1066800</xdr:colOff>
          <xdr:row>38</xdr:row>
          <xdr:rowOff>161925</xdr:rowOff>
        </xdr:to>
        <xdr:sp macro="" textlink="">
          <xdr:nvSpPr>
            <xdr:cNvPr id="90650" name="Button 7706" hidden="1">
              <a:extLst>
                <a:ext uri="{63B3BB69-23CF-44E3-9099-C40C66FF867C}">
                  <a14:compatExt spid="_x0000_s90650"/>
                </a:ext>
                <a:ext uri="{FF2B5EF4-FFF2-40B4-BE49-F238E27FC236}">
                  <a16:creationId xmlns:a16="http://schemas.microsoft.com/office/drawing/2014/main" id="{00000000-0008-0000-0100-00001A62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000000"/>
                  </a:solidFill>
                  <a:latin typeface="Verdana"/>
                  <a:ea typeface="Verdana"/>
                </a:rPr>
                <a:t>Print</a:t>
              </a:r>
            </a:p>
          </xdr:txBody>
        </xdr:sp>
        <xdr:clientData fLocksWithSheet="0" fPrintsWithSheet="0"/>
      </xdr:twoCellAnchor>
    </mc:Choice>
    <mc:Fallback/>
  </mc:AlternateContent>
  <xdr:twoCellAnchor editAs="oneCell">
    <xdr:from>
      <xdr:col>10</xdr:col>
      <xdr:colOff>0</xdr:colOff>
      <xdr:row>170</xdr:row>
      <xdr:rowOff>0</xdr:rowOff>
    </xdr:from>
    <xdr:to>
      <xdr:col>12</xdr:col>
      <xdr:colOff>1024890</xdr:colOff>
      <xdr:row>179</xdr:row>
      <xdr:rowOff>226489</xdr:rowOff>
    </xdr:to>
    <xdr:pic>
      <xdr:nvPicPr>
        <xdr:cNvPr id="18" name="Immagine 17" descr="Immagine che contiene diagramma, origami, design&#10;&#10;Descrizione generata automaticamente">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062364" y="38810045"/>
          <a:ext cx="3414799" cy="2581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190</xdr:row>
      <xdr:rowOff>0</xdr:rowOff>
    </xdr:from>
    <xdr:to>
      <xdr:col>12</xdr:col>
      <xdr:colOff>1024890</xdr:colOff>
      <xdr:row>201</xdr:row>
      <xdr:rowOff>146474</xdr:rowOff>
    </xdr:to>
    <xdr:pic>
      <xdr:nvPicPr>
        <xdr:cNvPr id="19" name="Immagine 18" descr="Immagine che contiene diagramma, origami, design&#10;&#10;Descrizione generata automaticamente">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062364" y="43243500"/>
          <a:ext cx="3414799" cy="2588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91167</xdr:colOff>
      <xdr:row>247</xdr:row>
      <xdr:rowOff>35378</xdr:rowOff>
    </xdr:from>
    <xdr:to>
      <xdr:col>10</xdr:col>
      <xdr:colOff>811167</xdr:colOff>
      <xdr:row>247</xdr:row>
      <xdr:rowOff>721320</xdr:rowOff>
    </xdr:to>
    <xdr:pic>
      <xdr:nvPicPr>
        <xdr:cNvPr id="7" name="Immagine 6" descr="Immagine che contiene design, cubo&#10;&#10;Descrizione generata automaticament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3"/>
        <a:stretch>
          <a:fillRect/>
        </a:stretch>
      </xdr:blipFill>
      <xdr:spPr>
        <a:xfrm>
          <a:off x="14121492" y="56223353"/>
          <a:ext cx="720000" cy="685942"/>
        </a:xfrm>
        <a:prstGeom prst="rect">
          <a:avLst/>
        </a:prstGeom>
      </xdr:spPr>
    </xdr:pic>
    <xdr:clientData/>
  </xdr:twoCellAnchor>
  <xdr:twoCellAnchor editAs="oneCell">
    <xdr:from>
      <xdr:col>10</xdr:col>
      <xdr:colOff>0</xdr:colOff>
      <xdr:row>54</xdr:row>
      <xdr:rowOff>9525</xdr:rowOff>
    </xdr:from>
    <xdr:to>
      <xdr:col>11</xdr:col>
      <xdr:colOff>914421</xdr:colOff>
      <xdr:row>60</xdr:row>
      <xdr:rowOff>118690</xdr:rowOff>
    </xdr:to>
    <xdr:pic>
      <xdr:nvPicPr>
        <xdr:cNvPr id="3" name="Immagine 2" descr="Immagine che contiene diagramma, linea, origami, design&#10;&#10;Descrizione generata automaticamente">
          <a:extLst>
            <a:ext uri="{FF2B5EF4-FFF2-40B4-BE49-F238E27FC236}">
              <a16:creationId xmlns:a16="http://schemas.microsoft.com/office/drawing/2014/main" id="{00000000-0008-0000-0100-000003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711" t="9226" r="4649" b="6413"/>
        <a:stretch/>
      </xdr:blipFill>
      <xdr:spPr bwMode="auto">
        <a:xfrm>
          <a:off x="11649075" y="12830175"/>
          <a:ext cx="2105046" cy="1661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108</xdr:row>
      <xdr:rowOff>0</xdr:rowOff>
    </xdr:from>
    <xdr:to>
      <xdr:col>12</xdr:col>
      <xdr:colOff>104891</xdr:colOff>
      <xdr:row>120</xdr:row>
      <xdr:rowOff>32741</xdr:rowOff>
    </xdr:to>
    <xdr:pic>
      <xdr:nvPicPr>
        <xdr:cNvPr id="11" name="onelock" descr="Immagine che contiene schizzo, disegno, diagramma, design&#10;&#10;Descrizione generata automaticamente">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672455" y="25544318"/>
          <a:ext cx="2494800" cy="2699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98</xdr:row>
      <xdr:rowOff>0</xdr:rowOff>
    </xdr:from>
    <xdr:to>
      <xdr:col>12</xdr:col>
      <xdr:colOff>655554</xdr:colOff>
      <xdr:row>103</xdr:row>
      <xdr:rowOff>150172</xdr:rowOff>
    </xdr:to>
    <xdr:pic>
      <xdr:nvPicPr>
        <xdr:cNvPr id="20" name="alulock" descr="Immagine che contiene schizzo, Schedario, design&#10;&#10;Descrizione generata automaticamente" hidden="1">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72455" y="23119773"/>
          <a:ext cx="3045463" cy="1362444"/>
        </a:xfrm>
        <a:prstGeom prst="rect">
          <a:avLst/>
        </a:prstGeom>
      </xdr:spPr>
    </xdr:pic>
    <xdr:clientData/>
  </xdr:twoCellAnchor>
  <xdr:twoCellAnchor editAs="oneCell">
    <xdr:from>
      <xdr:col>11</xdr:col>
      <xdr:colOff>103911</xdr:colOff>
      <xdr:row>80</xdr:row>
      <xdr:rowOff>17318</xdr:rowOff>
    </xdr:from>
    <xdr:to>
      <xdr:col>12</xdr:col>
      <xdr:colOff>993166</xdr:colOff>
      <xdr:row>88</xdr:row>
      <xdr:rowOff>178909</xdr:rowOff>
    </xdr:to>
    <xdr:pic>
      <xdr:nvPicPr>
        <xdr:cNvPr id="21" name="bealock" descr="Immagine che contiene schermata, Rettangolo, design&#10;&#10;Descrizione generata automaticamente">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71320" y="18582409"/>
          <a:ext cx="208421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564574</xdr:colOff>
      <xdr:row>80</xdr:row>
      <xdr:rowOff>0</xdr:rowOff>
    </xdr:from>
    <xdr:to>
      <xdr:col>12</xdr:col>
      <xdr:colOff>441694</xdr:colOff>
      <xdr:row>88</xdr:row>
      <xdr:rowOff>161591</xdr:rowOff>
    </xdr:to>
    <xdr:pic>
      <xdr:nvPicPr>
        <xdr:cNvPr id="23" name="collock" descr="Immagine che contiene Rettangolo, schermata, design&#10;&#10;Descrizione generata automaticamente" hidden="1">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431983" y="18565091"/>
          <a:ext cx="1072075"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121227</xdr:colOff>
      <xdr:row>88</xdr:row>
      <xdr:rowOff>225136</xdr:rowOff>
    </xdr:from>
    <xdr:to>
      <xdr:col>12</xdr:col>
      <xdr:colOff>1083004</xdr:colOff>
      <xdr:row>93</xdr:row>
      <xdr:rowOff>102177</xdr:rowOff>
    </xdr:to>
    <xdr:pic>
      <xdr:nvPicPr>
        <xdr:cNvPr id="24" name="Immagine 23" descr="Immagine che contiene Rettangolo&#10;&#10;Descrizione generata automaticamente">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988636" y="20608636"/>
          <a:ext cx="2156732"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14624</xdr:rowOff>
    </xdr:to>
    <xdr:pic>
      <xdr:nvPicPr>
        <xdr:cNvPr id="36" name="collock1" descr="Immagine che contiene scatola, design&#10;&#10;Descrizione generata automaticamente" hidden="1">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672455" y="14755091"/>
          <a:ext cx="3600000" cy="3460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348717</xdr:rowOff>
    </xdr:to>
    <xdr:pic>
      <xdr:nvPicPr>
        <xdr:cNvPr id="38" name="bealock2" descr="Immagine che contiene design, scatola, contenitore&#10;&#10;Descrizione generata automaticamente" hidden="1">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14755091"/>
          <a:ext cx="3600000" cy="3414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76</xdr:row>
      <xdr:rowOff>215352</xdr:rowOff>
    </xdr:to>
    <xdr:pic>
      <xdr:nvPicPr>
        <xdr:cNvPr id="39" name="bealockH2" descr="Immagine che contiene Rettangolo, casa, schizzo, design&#10;&#10;Descrizione generata automaticamente" hidden="1">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672455" y="14755091"/>
          <a:ext cx="3600000" cy="289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146927</xdr:rowOff>
    </xdr:to>
    <xdr:pic>
      <xdr:nvPicPr>
        <xdr:cNvPr id="40" name="incllock" descr="Immagine che contiene Parallelo, linea, cerchio, design&#10;&#10;Descrizione generata automaticamente" hidden="1">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672455" y="14755091"/>
          <a:ext cx="3600000" cy="3593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146855</xdr:rowOff>
    </xdr:to>
    <xdr:pic>
      <xdr:nvPicPr>
        <xdr:cNvPr id="41" name="stoplock" descr="Immagine che contiene linea, cerchio, Parallelo, design&#10;&#10;Descrizione generata automaticamente" hidden="1">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672455" y="14755091"/>
          <a:ext cx="3600000" cy="359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228852</xdr:rowOff>
    </xdr:to>
    <xdr:pic>
      <xdr:nvPicPr>
        <xdr:cNvPr id="42" name="collock2" descr="Immagine che contiene design&#10;&#10;Descrizione generata automaticamente" hidden="1">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672455" y="14755091"/>
          <a:ext cx="3600000" cy="3294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348716</xdr:rowOff>
    </xdr:to>
    <xdr:pic>
      <xdr:nvPicPr>
        <xdr:cNvPr id="45" name="bealock3" descr="Immagine che contiene design, scatola, contenitore&#10;&#10;Descrizione generata automaticamente" hidden="1">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14755091"/>
          <a:ext cx="3600000" cy="3414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317449</xdr:rowOff>
    </xdr:to>
    <xdr:pic>
      <xdr:nvPicPr>
        <xdr:cNvPr id="47" name="bealock1" descr="Immagine che contiene Rettangolo, design, scatola&#10;&#10;Descrizione generata automaticamente" hidden="1">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14755091"/>
          <a:ext cx="3600000" cy="3382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76185</xdr:rowOff>
    </xdr:to>
    <xdr:pic>
      <xdr:nvPicPr>
        <xdr:cNvPr id="48" name="bealockH1" descr="Immagine che contiene casa, schizzo, Rettangolo, design&#10;&#10;Descrizione generata automaticamente">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672455" y="14755091"/>
          <a:ext cx="3600000" cy="3141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204355</xdr:colOff>
      <xdr:row>63</xdr:row>
      <xdr:rowOff>0</xdr:rowOff>
    </xdr:from>
    <xdr:to>
      <xdr:col>13</xdr:col>
      <xdr:colOff>11673</xdr:colOff>
      <xdr:row>77</xdr:row>
      <xdr:rowOff>331304</xdr:rowOff>
    </xdr:to>
    <xdr:pic>
      <xdr:nvPicPr>
        <xdr:cNvPr id="54" name="bealock4" descr="Immagine che contiene Rettangolo, design, scatola&#10;&#10;Descrizione generata automaticamente" hidden="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68991" y="14755091"/>
          <a:ext cx="3600000" cy="339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108</xdr:row>
      <xdr:rowOff>0</xdr:rowOff>
    </xdr:from>
    <xdr:to>
      <xdr:col>12</xdr:col>
      <xdr:colOff>105130</xdr:colOff>
      <xdr:row>120</xdr:row>
      <xdr:rowOff>33000</xdr:rowOff>
    </xdr:to>
    <xdr:pic>
      <xdr:nvPicPr>
        <xdr:cNvPr id="55" name="twolock" descr="Immagine che contiene schizzo, disegno, diagramma, Disegno tecnico&#10;&#10;Descrizione generata automaticamente" hidden="1">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672455" y="25544318"/>
          <a:ext cx="2495039" cy="27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98</xdr:row>
      <xdr:rowOff>0</xdr:rowOff>
    </xdr:from>
    <xdr:to>
      <xdr:col>12</xdr:col>
      <xdr:colOff>655554</xdr:colOff>
      <xdr:row>102</xdr:row>
      <xdr:rowOff>187192</xdr:rowOff>
    </xdr:to>
    <xdr:pic>
      <xdr:nvPicPr>
        <xdr:cNvPr id="56" name="coatlock" descr="Immagine che contiene cerniera&#10;&#10;Descrizione generata automaticamente">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28"/>
        <a:stretch>
          <a:fillRect/>
        </a:stretch>
      </xdr:blipFill>
      <xdr:spPr>
        <a:xfrm>
          <a:off x="11672455" y="23119773"/>
          <a:ext cx="3045463" cy="1157010"/>
        </a:xfrm>
        <a:prstGeom prst="rect">
          <a:avLst/>
        </a:prstGeom>
      </xdr:spPr>
    </xdr:pic>
    <xdr:clientData/>
  </xdr:twoCellAnchor>
  <xdr:twoCellAnchor editAs="oneCell">
    <xdr:from>
      <xdr:col>10</xdr:col>
      <xdr:colOff>0</xdr:colOff>
      <xdr:row>126</xdr:row>
      <xdr:rowOff>0</xdr:rowOff>
    </xdr:from>
    <xdr:to>
      <xdr:col>13</xdr:col>
      <xdr:colOff>15137</xdr:colOff>
      <xdr:row>141</xdr:row>
      <xdr:rowOff>110821</xdr:rowOff>
    </xdr:to>
    <xdr:pic>
      <xdr:nvPicPr>
        <xdr:cNvPr id="226372" name="bealockH1_1" descr="Immagine che contiene casa, schizzo, Rettangolo, design&#10;&#10;Descrizione generata automaticamente">
          <a:extLst>
            <a:ext uri="{FF2B5EF4-FFF2-40B4-BE49-F238E27FC236}">
              <a16:creationId xmlns:a16="http://schemas.microsoft.com/office/drawing/2014/main" id="{00000000-0008-0000-0100-0000447403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672455" y="29423591"/>
          <a:ext cx="3600000" cy="3141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142</xdr:row>
      <xdr:rowOff>109631</xdr:rowOff>
    </xdr:to>
    <xdr:pic>
      <xdr:nvPicPr>
        <xdr:cNvPr id="226373" name="bealock1_1" descr="Immagine che contiene Rettangolo, design, scatola&#10;&#10;Descrizione generata automaticamente" hidden="1">
          <a:extLst>
            <a:ext uri="{FF2B5EF4-FFF2-40B4-BE49-F238E27FC236}">
              <a16:creationId xmlns:a16="http://schemas.microsoft.com/office/drawing/2014/main" id="{00000000-0008-0000-0100-0000457403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29423591"/>
          <a:ext cx="3600000" cy="3382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198881</xdr:rowOff>
    </xdr:to>
    <xdr:pic>
      <xdr:nvPicPr>
        <xdr:cNvPr id="226374" name="incllock_1" descr="Immagine che contiene Parallelo, linea, cerchio, design&#10;&#10;Descrizione generata automaticamente" hidden="1">
          <a:extLst>
            <a:ext uri="{FF2B5EF4-FFF2-40B4-BE49-F238E27FC236}">
              <a16:creationId xmlns:a16="http://schemas.microsoft.com/office/drawing/2014/main" id="{00000000-0008-0000-0100-0000467403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672455" y="29423591"/>
          <a:ext cx="3600000" cy="3593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198809</xdr:rowOff>
    </xdr:to>
    <xdr:pic>
      <xdr:nvPicPr>
        <xdr:cNvPr id="226375" name="stoplock_1" descr="Immagine che contiene linea, cerchio, Parallelo, design&#10;&#10;Descrizione generata automaticamente" hidden="1">
          <a:extLst>
            <a:ext uri="{FF2B5EF4-FFF2-40B4-BE49-F238E27FC236}">
              <a16:creationId xmlns:a16="http://schemas.microsoft.com/office/drawing/2014/main" id="{00000000-0008-0000-0100-0000477403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672455" y="29423591"/>
          <a:ext cx="3600000" cy="359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19670</xdr:rowOff>
    </xdr:to>
    <xdr:pic>
      <xdr:nvPicPr>
        <xdr:cNvPr id="226376" name="bealock3_1" descr="Immagine che contiene design, scatola, contenitore&#10;&#10;Descrizione generata automaticamente" hidden="1">
          <a:extLst>
            <a:ext uri="{FF2B5EF4-FFF2-40B4-BE49-F238E27FC236}">
              <a16:creationId xmlns:a16="http://schemas.microsoft.com/office/drawing/2014/main" id="{00000000-0008-0000-0100-0000487403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29423591"/>
          <a:ext cx="3600000" cy="3414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66578</xdr:rowOff>
    </xdr:to>
    <xdr:pic>
      <xdr:nvPicPr>
        <xdr:cNvPr id="226377" name="collock1_1" descr="Immagine che contiene scatola, design&#10;&#10;Descrizione generata automaticamente" hidden="1">
          <a:extLst>
            <a:ext uri="{FF2B5EF4-FFF2-40B4-BE49-F238E27FC236}">
              <a16:creationId xmlns:a16="http://schemas.microsoft.com/office/drawing/2014/main" id="{00000000-0008-0000-0100-0000497403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672455" y="29423591"/>
          <a:ext cx="3600000" cy="3460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19671</xdr:rowOff>
    </xdr:to>
    <xdr:pic>
      <xdr:nvPicPr>
        <xdr:cNvPr id="226378" name="bealock2_1" descr="Immagine che contiene design, scatola, contenitore&#10;&#10;Descrizione generata automaticamente" hidden="1">
          <a:extLst>
            <a:ext uri="{FF2B5EF4-FFF2-40B4-BE49-F238E27FC236}">
              <a16:creationId xmlns:a16="http://schemas.microsoft.com/office/drawing/2014/main" id="{00000000-0008-0000-0100-00004A7403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29423591"/>
          <a:ext cx="3600000" cy="3414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140</xdr:row>
      <xdr:rowOff>111443</xdr:rowOff>
    </xdr:to>
    <xdr:pic>
      <xdr:nvPicPr>
        <xdr:cNvPr id="226379" name="bealockH2_1" descr="Immagine che contiene Rettangolo, casa, schizzo, design&#10;&#10;Descrizione generata automaticamente" hidden="1">
          <a:extLst>
            <a:ext uri="{FF2B5EF4-FFF2-40B4-BE49-F238E27FC236}">
              <a16:creationId xmlns:a16="http://schemas.microsoft.com/office/drawing/2014/main" id="{00000000-0008-0000-0100-00004B7403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672455" y="29423591"/>
          <a:ext cx="3600000" cy="289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142</xdr:row>
      <xdr:rowOff>21034</xdr:rowOff>
    </xdr:to>
    <xdr:pic>
      <xdr:nvPicPr>
        <xdr:cNvPr id="226380" name="collock2_1" descr="Immagine che contiene design&#10;&#10;Descrizione generata automaticamente" hidden="1">
          <a:extLst>
            <a:ext uri="{FF2B5EF4-FFF2-40B4-BE49-F238E27FC236}">
              <a16:creationId xmlns:a16="http://schemas.microsoft.com/office/drawing/2014/main" id="{00000000-0008-0000-0100-00004C7403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672455" y="29423591"/>
          <a:ext cx="3600000" cy="3294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2258</xdr:rowOff>
    </xdr:to>
    <xdr:pic>
      <xdr:nvPicPr>
        <xdr:cNvPr id="226381" name="bealock4_1" descr="Immagine che contiene Rettangolo, design, scatola&#10;&#10;Descrizione generata automaticamente" hidden="1">
          <a:extLst>
            <a:ext uri="{FF2B5EF4-FFF2-40B4-BE49-F238E27FC236}">
              <a16:creationId xmlns:a16="http://schemas.microsoft.com/office/drawing/2014/main" id="{00000000-0008-0000-0100-00004D7403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29423591"/>
          <a:ext cx="3600000" cy="339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380998</xdr:colOff>
      <xdr:row>235</xdr:row>
      <xdr:rowOff>0</xdr:rowOff>
    </xdr:from>
    <xdr:to>
      <xdr:col>12</xdr:col>
      <xdr:colOff>1179017</xdr:colOff>
      <xdr:row>239</xdr:row>
      <xdr:rowOff>156823</xdr:rowOff>
    </xdr:to>
    <xdr:pic>
      <xdr:nvPicPr>
        <xdr:cNvPr id="30" name="combo0" hidden="1">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783534" y="53952321"/>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1173576</xdr:colOff>
      <xdr:row>239</xdr:row>
      <xdr:rowOff>184521</xdr:rowOff>
    </xdr:to>
    <xdr:pic>
      <xdr:nvPicPr>
        <xdr:cNvPr id="31" name="comboAC" descr="Immagine che contiene Carattere, bianco, schizzo, testo&#10;&#10;Descrizione generata automaticamente">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9725025" y="54435375"/>
          <a:ext cx="5478876" cy="1051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1173730</xdr:colOff>
      <xdr:row>239</xdr:row>
      <xdr:rowOff>124649</xdr:rowOff>
    </xdr:to>
    <xdr:pic>
      <xdr:nvPicPr>
        <xdr:cNvPr id="32" name="comboACD" descr="Immagine che contiene testo, Carattere, calligrafia, bianco&#10;&#10;Descrizione generata automaticamente" hidden="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9725025" y="54435375"/>
          <a:ext cx="5479030" cy="991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1173576</xdr:colOff>
      <xdr:row>239</xdr:row>
      <xdr:rowOff>105600</xdr:rowOff>
    </xdr:to>
    <xdr:pic>
      <xdr:nvPicPr>
        <xdr:cNvPr id="33" name="comboAD" descr="Immagine che contiene testo, Carattere, calligrafia, bianco&#10;&#10;Descrizione generata automaticamente" hidden="1">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9725025" y="54435375"/>
          <a:ext cx="5478876" cy="97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1169115</xdr:colOff>
      <xdr:row>239</xdr:row>
      <xdr:rowOff>105598</xdr:rowOff>
    </xdr:to>
    <xdr:pic>
      <xdr:nvPicPr>
        <xdr:cNvPr id="34" name="comboBC" descr="Immagine che contiene testo, Carattere, diagramma, bianco&#10;&#10;Descrizione generata automaticamente" hidden="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9725025" y="54435375"/>
          <a:ext cx="5474415" cy="97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1169115</xdr:colOff>
      <xdr:row>239</xdr:row>
      <xdr:rowOff>96075</xdr:rowOff>
    </xdr:to>
    <xdr:pic>
      <xdr:nvPicPr>
        <xdr:cNvPr id="35" name="comboBCD" descr="Immagine che contiene testo, Carattere, calligrafia, diagramma&#10;&#10;Descrizione generata automaticamente" hidden="1">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9725025" y="54435375"/>
          <a:ext cx="5474415" cy="9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235</xdr:row>
      <xdr:rowOff>0</xdr:rowOff>
    </xdr:from>
    <xdr:to>
      <xdr:col>12</xdr:col>
      <xdr:colOff>1164051</xdr:colOff>
      <xdr:row>239</xdr:row>
      <xdr:rowOff>105598</xdr:rowOff>
    </xdr:to>
    <xdr:pic>
      <xdr:nvPicPr>
        <xdr:cNvPr id="37" name="comboBD" descr="Immagine che contiene testo, Carattere, bianco, diagramma&#10;&#10;Descrizione generata automaticamente" hidden="1">
          <a:extLst>
            <a:ext uri="{FF2B5EF4-FFF2-40B4-BE49-F238E27FC236}">
              <a16:creationId xmlns:a16="http://schemas.microsoft.com/office/drawing/2014/main" id="{00000000-0008-0000-0100-000025000000}"/>
            </a:ext>
          </a:extLst>
        </xdr:cNvPr>
        <xdr:cNvPicPr>
          <a:picLocks noChangeAspect="1" noChangeArrowheads="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l="1" r="1122"/>
        <a:stretch/>
      </xdr:blipFill>
      <xdr:spPr bwMode="auto">
        <a:xfrm>
          <a:off x="9715500" y="54435375"/>
          <a:ext cx="5478876" cy="97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235</xdr:row>
      <xdr:rowOff>0</xdr:rowOff>
    </xdr:from>
    <xdr:to>
      <xdr:col>12</xdr:col>
      <xdr:colOff>1159590</xdr:colOff>
      <xdr:row>239</xdr:row>
      <xdr:rowOff>124650</xdr:rowOff>
    </xdr:to>
    <xdr:pic>
      <xdr:nvPicPr>
        <xdr:cNvPr id="43" name="comboCD" descr="Immagine che contiene testo, Carattere, diagramma, bianco&#10;&#10;Descrizione generata automaticamente" hidden="1">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9715500" y="54435375"/>
          <a:ext cx="5474415" cy="99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314325</xdr:colOff>
      <xdr:row>33</xdr:row>
      <xdr:rowOff>44905</xdr:rowOff>
    </xdr:from>
    <xdr:to>
      <xdr:col>11</xdr:col>
      <xdr:colOff>951525</xdr:colOff>
      <xdr:row>34</xdr:row>
      <xdr:rowOff>194542</xdr:rowOff>
    </xdr:to>
    <xdr:pic>
      <xdr:nvPicPr>
        <xdr:cNvPr id="6" name="inghilterra" descr="Immagine che contiene simbolo, testo, Simmetria, linea&#10;&#10;Descrizione generata automaticamente" hidden="1">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3154025" y="7112455"/>
          <a:ext cx="637200" cy="397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29936</xdr:rowOff>
    </xdr:from>
    <xdr:to>
      <xdr:col>11</xdr:col>
      <xdr:colOff>950836</xdr:colOff>
      <xdr:row>34</xdr:row>
      <xdr:rowOff>214286</xdr:rowOff>
    </xdr:to>
    <xdr:pic>
      <xdr:nvPicPr>
        <xdr:cNvPr id="12" name="francia" descr="Immagine che contiene bandiera, Rettangolo, blu, rosso&#10;&#10;Descrizione generata automaticamente" hidden="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3163550" y="7097486"/>
          <a:ext cx="626986"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27213</xdr:rowOff>
    </xdr:from>
    <xdr:to>
      <xdr:col>11</xdr:col>
      <xdr:colOff>952047</xdr:colOff>
      <xdr:row>34</xdr:row>
      <xdr:rowOff>211563</xdr:rowOff>
    </xdr:to>
    <xdr:pic>
      <xdr:nvPicPr>
        <xdr:cNvPr id="17" name="spagna" descr="Immagine che contiene testo, bandiera, simbolo, logo&#10;&#10;Descrizione generata automaticamente">
          <a:extLst>
            <a:ext uri="{FF2B5EF4-FFF2-40B4-BE49-F238E27FC236}">
              <a16:creationId xmlns:a16="http://schemas.microsoft.com/office/drawing/2014/main" id="{00000000-0008-0000-0100-000011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t="16639" b="16647"/>
        <a:stretch/>
      </xdr:blipFill>
      <xdr:spPr bwMode="auto">
        <a:xfrm>
          <a:off x="13163550" y="7094763"/>
          <a:ext cx="628197"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24492</xdr:rowOff>
    </xdr:from>
    <xdr:to>
      <xdr:col>11</xdr:col>
      <xdr:colOff>950999</xdr:colOff>
      <xdr:row>34</xdr:row>
      <xdr:rowOff>208842</xdr:rowOff>
    </xdr:to>
    <xdr:pic>
      <xdr:nvPicPr>
        <xdr:cNvPr id="25" name="portogallo" descr="Immagine che contiene bandiera, simbolo, logo, Elementi grafici&#10;&#10;Descrizione generata automaticamente" hidden="1">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3163550" y="7092042"/>
          <a:ext cx="627149"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342901</xdr:colOff>
      <xdr:row>33</xdr:row>
      <xdr:rowOff>32656</xdr:rowOff>
    </xdr:from>
    <xdr:to>
      <xdr:col>11</xdr:col>
      <xdr:colOff>932368</xdr:colOff>
      <xdr:row>34</xdr:row>
      <xdr:rowOff>217006</xdr:rowOff>
    </xdr:to>
    <xdr:pic>
      <xdr:nvPicPr>
        <xdr:cNvPr id="26" name="germania" descr="Immagine che contiene rosso, giallo, arancione, Policromia&#10;&#10;Descrizione generata automaticamente" hidden="1">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3182601" y="7100206"/>
          <a:ext cx="589467"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314325</xdr:colOff>
      <xdr:row>33</xdr:row>
      <xdr:rowOff>38100</xdr:rowOff>
    </xdr:from>
    <xdr:to>
      <xdr:col>11</xdr:col>
      <xdr:colOff>951578</xdr:colOff>
      <xdr:row>34</xdr:row>
      <xdr:rowOff>222450</xdr:rowOff>
    </xdr:to>
    <xdr:pic>
      <xdr:nvPicPr>
        <xdr:cNvPr id="49" name="italia" descr="Immagine che contiene verde, rosso, bandiera, Rettangolo&#10;&#10;Descrizione generata automaticamente" hidden="1">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3154025" y="7105650"/>
          <a:ext cx="637253"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7</xdr:col>
      <xdr:colOff>17951</xdr:colOff>
      <xdr:row>42</xdr:row>
      <xdr:rowOff>3547</xdr:rowOff>
    </xdr:to>
    <xdr:pic>
      <xdr:nvPicPr>
        <xdr:cNvPr id="16" name="Immagine 15">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0" y="58518136"/>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38</xdr:row>
      <xdr:rowOff>0</xdr:rowOff>
    </xdr:from>
    <xdr:to>
      <xdr:col>7</xdr:col>
      <xdr:colOff>22566</xdr:colOff>
      <xdr:row>39</xdr:row>
      <xdr:rowOff>3546</xdr:rowOff>
    </xdr:to>
    <xdr:pic>
      <xdr:nvPicPr>
        <xdr:cNvPr id="17" name="Immagin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44500" y="57011455"/>
          <a:ext cx="5477793"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37</xdr:row>
      <xdr:rowOff>0</xdr:rowOff>
    </xdr:from>
    <xdr:to>
      <xdr:col>7</xdr:col>
      <xdr:colOff>22412</xdr:colOff>
      <xdr:row>38</xdr:row>
      <xdr:rowOff>3545</xdr:rowOff>
    </xdr:to>
    <xdr:pic>
      <xdr:nvPicPr>
        <xdr:cNvPr id="19" name="Immagine 18">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099676" y="57060353"/>
          <a:ext cx="5479677" cy="101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39</xdr:row>
      <xdr:rowOff>0</xdr:rowOff>
    </xdr:from>
    <xdr:to>
      <xdr:col>7</xdr:col>
      <xdr:colOff>22412</xdr:colOff>
      <xdr:row>40</xdr:row>
      <xdr:rowOff>3546</xdr:rowOff>
    </xdr:to>
    <xdr:pic>
      <xdr:nvPicPr>
        <xdr:cNvPr id="20" name="Immagine 19">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099676" y="59077412"/>
          <a:ext cx="5479677" cy="101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40</xdr:row>
      <xdr:rowOff>0</xdr:rowOff>
    </xdr:from>
    <xdr:to>
      <xdr:col>7</xdr:col>
      <xdr:colOff>17951</xdr:colOff>
      <xdr:row>41</xdr:row>
      <xdr:rowOff>3544</xdr:rowOff>
    </xdr:to>
    <xdr:pic>
      <xdr:nvPicPr>
        <xdr:cNvPr id="21" name="Immagine 20">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60024818"/>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43</xdr:row>
      <xdr:rowOff>0</xdr:rowOff>
    </xdr:from>
    <xdr:to>
      <xdr:col>7</xdr:col>
      <xdr:colOff>17951</xdr:colOff>
      <xdr:row>44</xdr:row>
      <xdr:rowOff>3547</xdr:rowOff>
    </xdr:to>
    <xdr:pic>
      <xdr:nvPicPr>
        <xdr:cNvPr id="22" name="Immagine 21">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144500" y="63038182"/>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42</xdr:row>
      <xdr:rowOff>0</xdr:rowOff>
    </xdr:from>
    <xdr:to>
      <xdr:col>7</xdr:col>
      <xdr:colOff>22412</xdr:colOff>
      <xdr:row>43</xdr:row>
      <xdr:rowOff>3544</xdr:rowOff>
    </xdr:to>
    <xdr:pic>
      <xdr:nvPicPr>
        <xdr:cNvPr id="24" name="Immagine 23">
          <a:extLst>
            <a:ext uri="{FF2B5EF4-FFF2-40B4-BE49-F238E27FC236}">
              <a16:creationId xmlns:a16="http://schemas.microsoft.com/office/drawing/2014/main" id="{00000000-0008-0000-0400-000018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 r="1122"/>
        <a:stretch/>
      </xdr:blipFill>
      <xdr:spPr bwMode="auto">
        <a:xfrm>
          <a:off x="13099676" y="62103000"/>
          <a:ext cx="5479677" cy="1012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44</xdr:row>
      <xdr:rowOff>0</xdr:rowOff>
    </xdr:from>
    <xdr:to>
      <xdr:col>7</xdr:col>
      <xdr:colOff>22412</xdr:colOff>
      <xdr:row>45</xdr:row>
      <xdr:rowOff>7144</xdr:rowOff>
    </xdr:to>
    <xdr:pic>
      <xdr:nvPicPr>
        <xdr:cNvPr id="31" name="Immagine 30">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99676" y="64120059"/>
          <a:ext cx="5479677" cy="1015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33</xdr:row>
      <xdr:rowOff>0</xdr:rowOff>
    </xdr:from>
    <xdr:to>
      <xdr:col>7</xdr:col>
      <xdr:colOff>22412</xdr:colOff>
      <xdr:row>34</xdr:row>
      <xdr:rowOff>7144</xdr:rowOff>
    </xdr:to>
    <xdr:pic>
      <xdr:nvPicPr>
        <xdr:cNvPr id="5" name="Immagin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4523821"/>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34</xdr:row>
      <xdr:rowOff>0</xdr:rowOff>
    </xdr:from>
    <xdr:to>
      <xdr:col>7</xdr:col>
      <xdr:colOff>22412</xdr:colOff>
      <xdr:row>35</xdr:row>
      <xdr:rowOff>7145</xdr:rowOff>
    </xdr:to>
    <xdr:pic>
      <xdr:nvPicPr>
        <xdr:cNvPr id="6" name="Immagin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5530750"/>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35</xdr:row>
      <xdr:rowOff>0</xdr:rowOff>
    </xdr:from>
    <xdr:to>
      <xdr:col>7</xdr:col>
      <xdr:colOff>22412</xdr:colOff>
      <xdr:row>36</xdr:row>
      <xdr:rowOff>7144</xdr:rowOff>
    </xdr:to>
    <xdr:pic>
      <xdr:nvPicPr>
        <xdr:cNvPr id="7" name="Immagin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6537679"/>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36</xdr:row>
      <xdr:rowOff>0</xdr:rowOff>
    </xdr:from>
    <xdr:to>
      <xdr:col>7</xdr:col>
      <xdr:colOff>22412</xdr:colOff>
      <xdr:row>37</xdr:row>
      <xdr:rowOff>7145</xdr:rowOff>
    </xdr:to>
    <xdr:pic>
      <xdr:nvPicPr>
        <xdr:cNvPr id="9" name="Immagin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7544607"/>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28575</xdr:colOff>
      <xdr:row>9</xdr:row>
      <xdr:rowOff>28575</xdr:rowOff>
    </xdr:from>
    <xdr:to>
      <xdr:col>12</xdr:col>
      <xdr:colOff>604575</xdr:colOff>
      <xdr:row>9</xdr:row>
      <xdr:rowOff>387705</xdr:rowOff>
    </xdr:to>
    <xdr:pic>
      <xdr:nvPicPr>
        <xdr:cNvPr id="9" name="Immagine 8" descr="Visualizza immagine di origine">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5975" y="1943100"/>
          <a:ext cx="576000" cy="3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8</xdr:row>
      <xdr:rowOff>28575</xdr:rowOff>
    </xdr:from>
    <xdr:to>
      <xdr:col>12</xdr:col>
      <xdr:colOff>604575</xdr:colOff>
      <xdr:row>8</xdr:row>
      <xdr:rowOff>419051</xdr:rowOff>
    </xdr:to>
    <xdr:pic>
      <xdr:nvPicPr>
        <xdr:cNvPr id="10" name="Immagine 9" descr="Visualizza immagine di origine">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85975" y="1504950"/>
          <a:ext cx="576000" cy="390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11</xdr:row>
      <xdr:rowOff>19050</xdr:rowOff>
    </xdr:from>
    <xdr:to>
      <xdr:col>12</xdr:col>
      <xdr:colOff>604575</xdr:colOff>
      <xdr:row>11</xdr:row>
      <xdr:rowOff>415920</xdr:rowOff>
    </xdr:to>
    <xdr:pic>
      <xdr:nvPicPr>
        <xdr:cNvPr id="11" name="Immagine 10" descr="Visualizza immagine di origine">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85975" y="2809875"/>
          <a:ext cx="576000" cy="396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12</xdr:row>
      <xdr:rowOff>28575</xdr:rowOff>
    </xdr:from>
    <xdr:to>
      <xdr:col>12</xdr:col>
      <xdr:colOff>604575</xdr:colOff>
      <xdr:row>12</xdr:row>
      <xdr:rowOff>424680</xdr:rowOff>
    </xdr:to>
    <xdr:pic>
      <xdr:nvPicPr>
        <xdr:cNvPr id="12" name="Immagine 11" descr="Visualizza immagine di origine">
          <a:extLst>
            <a:ext uri="{FF2B5EF4-FFF2-40B4-BE49-F238E27FC236}">
              <a16:creationId xmlns:a16="http://schemas.microsoft.com/office/drawing/2014/main" id="{00000000-0008-0000-0500-00000C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6639" b="16647"/>
        <a:stretch/>
      </xdr:blipFill>
      <xdr:spPr bwMode="auto">
        <a:xfrm>
          <a:off x="2085975" y="3257550"/>
          <a:ext cx="576000" cy="39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13</xdr:row>
      <xdr:rowOff>19050</xdr:rowOff>
    </xdr:from>
    <xdr:to>
      <xdr:col>12</xdr:col>
      <xdr:colOff>604575</xdr:colOff>
      <xdr:row>13</xdr:row>
      <xdr:rowOff>415817</xdr:rowOff>
    </xdr:to>
    <xdr:pic>
      <xdr:nvPicPr>
        <xdr:cNvPr id="13" name="Immagine 12" descr="Visualizza immagine di origine">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85975" y="3686175"/>
          <a:ext cx="576000" cy="396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10</xdr:row>
      <xdr:rowOff>9525</xdr:rowOff>
    </xdr:from>
    <xdr:to>
      <xdr:col>12</xdr:col>
      <xdr:colOff>604575</xdr:colOff>
      <xdr:row>10</xdr:row>
      <xdr:rowOff>431656</xdr:rowOff>
    </xdr:to>
    <xdr:pic>
      <xdr:nvPicPr>
        <xdr:cNvPr id="14" name="Immagine 13" descr="Visualizza immagine di origine">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85975" y="2362200"/>
          <a:ext cx="576000" cy="422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43</xdr:col>
      <xdr:colOff>367393</xdr:colOff>
      <xdr:row>10</xdr:row>
      <xdr:rowOff>108857</xdr:rowOff>
    </xdr:from>
    <xdr:to>
      <xdr:col>53</xdr:col>
      <xdr:colOff>853014</xdr:colOff>
      <xdr:row>21</xdr:row>
      <xdr:rowOff>134972</xdr:rowOff>
    </xdr:to>
    <xdr:pic>
      <xdr:nvPicPr>
        <xdr:cNvPr id="2" name="Immagin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8695993" y="3633107"/>
          <a:ext cx="8581871" cy="18277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43</xdr:col>
      <xdr:colOff>367393</xdr:colOff>
      <xdr:row>10</xdr:row>
      <xdr:rowOff>108857</xdr:rowOff>
    </xdr:from>
    <xdr:to>
      <xdr:col>53</xdr:col>
      <xdr:colOff>853014</xdr:colOff>
      <xdr:row>22</xdr:row>
      <xdr:rowOff>12508</xdr:rowOff>
    </xdr:to>
    <xdr:pic>
      <xdr:nvPicPr>
        <xdr:cNvPr id="2" name="Immagin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8481000" y="3429000"/>
          <a:ext cx="8649907" cy="18766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38</xdr:col>
      <xdr:colOff>9897</xdr:colOff>
      <xdr:row>8</xdr:row>
      <xdr:rowOff>121228</xdr:rowOff>
    </xdr:from>
    <xdr:to>
      <xdr:col>45</xdr:col>
      <xdr:colOff>1070130</xdr:colOff>
      <xdr:row>24</xdr:row>
      <xdr:rowOff>148128</xdr:rowOff>
    </xdr:to>
    <xdr:pic>
      <xdr:nvPicPr>
        <xdr:cNvPr id="2" name="Immagin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4594306" y="3117273"/>
          <a:ext cx="7527535" cy="2760303"/>
        </a:xfrm>
        <a:prstGeom prst="rect">
          <a:avLst/>
        </a:prstGeom>
      </xdr:spPr>
    </xdr:pic>
    <xdr:clientData/>
  </xdr:twoCellAnchor>
  <xdr:twoCellAnchor editAs="oneCell">
    <xdr:from>
      <xdr:col>33</xdr:col>
      <xdr:colOff>625928</xdr:colOff>
      <xdr:row>32</xdr:row>
      <xdr:rowOff>326573</xdr:rowOff>
    </xdr:from>
    <xdr:to>
      <xdr:col>43</xdr:col>
      <xdr:colOff>42690</xdr:colOff>
      <xdr:row>40</xdr:row>
      <xdr:rowOff>116433</xdr:rowOff>
    </xdr:to>
    <xdr:pic>
      <xdr:nvPicPr>
        <xdr:cNvPr id="4" name="Immagin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28697464" y="8722180"/>
          <a:ext cx="9000000" cy="1861348"/>
        </a:xfrm>
        <a:prstGeom prst="rect">
          <a:avLst/>
        </a:prstGeom>
      </xdr:spPr>
    </xdr:pic>
    <xdr:clientData/>
  </xdr:twoCellAnchor>
  <xdr:twoCellAnchor editAs="oneCell">
    <xdr:from>
      <xdr:col>43</xdr:col>
      <xdr:colOff>381000</xdr:colOff>
      <xdr:row>32</xdr:row>
      <xdr:rowOff>625928</xdr:rowOff>
    </xdr:from>
    <xdr:to>
      <xdr:col>48</xdr:col>
      <xdr:colOff>499654</xdr:colOff>
      <xdr:row>71</xdr:row>
      <xdr:rowOff>115273</xdr:rowOff>
    </xdr:to>
    <xdr:pic>
      <xdr:nvPicPr>
        <xdr:cNvPr id="3" name="Immagin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38031964" y="9021535"/>
          <a:ext cx="6109608" cy="6636298"/>
        </a:xfrm>
        <a:prstGeom prst="rect">
          <a:avLst/>
        </a:prstGeom>
      </xdr:spPr>
    </xdr:pic>
    <xdr:clientData/>
  </xdr:twoCellAnchor>
  <xdr:twoCellAnchor editAs="oneCell">
    <xdr:from>
      <xdr:col>33</xdr:col>
      <xdr:colOff>1251857</xdr:colOff>
      <xdr:row>45</xdr:row>
      <xdr:rowOff>81642</xdr:rowOff>
    </xdr:from>
    <xdr:to>
      <xdr:col>43</xdr:col>
      <xdr:colOff>187061</xdr:colOff>
      <xdr:row>65</xdr:row>
      <xdr:rowOff>4127</xdr:rowOff>
    </xdr:to>
    <xdr:pic>
      <xdr:nvPicPr>
        <xdr:cNvPr id="5" name="Immagin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29323393" y="11089821"/>
          <a:ext cx="8507012" cy="3181794"/>
        </a:xfrm>
        <a:prstGeom prst="rect">
          <a:avLst/>
        </a:prstGeom>
      </xdr:spPr>
    </xdr:pic>
    <xdr:clientData/>
  </xdr:twoCellAnchor>
  <xdr:twoCellAnchor editAs="oneCell">
    <xdr:from>
      <xdr:col>39</xdr:col>
      <xdr:colOff>207818</xdr:colOff>
      <xdr:row>86</xdr:row>
      <xdr:rowOff>95250</xdr:rowOff>
    </xdr:from>
    <xdr:to>
      <xdr:col>48</xdr:col>
      <xdr:colOff>185776</xdr:colOff>
      <xdr:row>96</xdr:row>
      <xdr:rowOff>149518</xdr:rowOff>
    </xdr:to>
    <xdr:pic>
      <xdr:nvPicPr>
        <xdr:cNvPr id="6" name="Immagin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35654425" y="20723679"/>
          <a:ext cx="9228910" cy="1924433"/>
        </a:xfrm>
        <a:prstGeom prst="rect">
          <a:avLst/>
        </a:prstGeom>
      </xdr:spPr>
    </xdr:pic>
    <xdr:clientData/>
  </xdr:twoCellAnchor>
  <xdr:twoCellAnchor editAs="oneCell">
    <xdr:from>
      <xdr:col>40</xdr:col>
      <xdr:colOff>65562</xdr:colOff>
      <xdr:row>110</xdr:row>
      <xdr:rowOff>13607</xdr:rowOff>
    </xdr:from>
    <xdr:to>
      <xdr:col>48</xdr:col>
      <xdr:colOff>1108003</xdr:colOff>
      <xdr:row>122</xdr:row>
      <xdr:rowOff>80186</xdr:rowOff>
    </xdr:to>
    <xdr:pic>
      <xdr:nvPicPr>
        <xdr:cNvPr id="7" name="Immagin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xfrm>
          <a:off x="36328598" y="26574750"/>
          <a:ext cx="9486489" cy="2249437"/>
        </a:xfrm>
        <a:prstGeom prst="rect">
          <a:avLst/>
        </a:prstGeom>
      </xdr:spPr>
    </xdr:pic>
    <xdr:clientData/>
  </xdr:twoCellAnchor>
  <xdr:twoCellAnchor editAs="oneCell">
    <xdr:from>
      <xdr:col>48</xdr:col>
      <xdr:colOff>653144</xdr:colOff>
      <xdr:row>33</xdr:row>
      <xdr:rowOff>108857</xdr:rowOff>
    </xdr:from>
    <xdr:to>
      <xdr:col>52</xdr:col>
      <xdr:colOff>1101004</xdr:colOff>
      <xdr:row>40</xdr:row>
      <xdr:rowOff>110689</xdr:rowOff>
    </xdr:to>
    <xdr:pic>
      <xdr:nvPicPr>
        <xdr:cNvPr id="8" name="Immagin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xfrm>
          <a:off x="45352608" y="9225643"/>
          <a:ext cx="5229955" cy="1428949"/>
        </a:xfrm>
        <a:prstGeom prst="rect">
          <a:avLst/>
        </a:prstGeom>
      </xdr:spPr>
    </xdr:pic>
    <xdr:clientData/>
  </xdr:twoCellAnchor>
  <xdr:twoCellAnchor editAs="oneCell">
    <xdr:from>
      <xdr:col>50</xdr:col>
      <xdr:colOff>993321</xdr:colOff>
      <xdr:row>86</xdr:row>
      <xdr:rowOff>81642</xdr:rowOff>
    </xdr:from>
    <xdr:to>
      <xdr:col>57</xdr:col>
      <xdr:colOff>651237</xdr:colOff>
      <xdr:row>98</xdr:row>
      <xdr:rowOff>34024</xdr:rowOff>
    </xdr:to>
    <xdr:pic>
      <xdr:nvPicPr>
        <xdr:cNvPr id="11" name="Immagin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48087642" y="19743963"/>
          <a:ext cx="8041821" cy="21529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45</xdr:col>
      <xdr:colOff>1170215</xdr:colOff>
      <xdr:row>10</xdr:row>
      <xdr:rowOff>1</xdr:rowOff>
    </xdr:from>
    <xdr:to>
      <xdr:col>52</xdr:col>
      <xdr:colOff>333068</xdr:colOff>
      <xdr:row>21</xdr:row>
      <xdr:rowOff>104437</xdr:rowOff>
    </xdr:to>
    <xdr:pic>
      <xdr:nvPicPr>
        <xdr:cNvPr id="2" name="Immagin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2214306" y="3758046"/>
          <a:ext cx="7527535" cy="2782569"/>
        </a:xfrm>
        <a:prstGeom prst="rect">
          <a:avLst/>
        </a:prstGeom>
      </xdr:spPr>
    </xdr:pic>
    <xdr:clientData/>
  </xdr:twoCellAnchor>
  <xdr:twoCellAnchor editAs="oneCell">
    <xdr:from>
      <xdr:col>33</xdr:col>
      <xdr:colOff>625928</xdr:colOff>
      <xdr:row>32</xdr:row>
      <xdr:rowOff>326573</xdr:rowOff>
    </xdr:from>
    <xdr:to>
      <xdr:col>43</xdr:col>
      <xdr:colOff>46500</xdr:colOff>
      <xdr:row>38</xdr:row>
      <xdr:rowOff>47161</xdr:rowOff>
    </xdr:to>
    <xdr:pic>
      <xdr:nvPicPr>
        <xdr:cNvPr id="3" name="Immagin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29591453" y="9413423"/>
          <a:ext cx="8945572" cy="1885360"/>
        </a:xfrm>
        <a:prstGeom prst="rect">
          <a:avLst/>
        </a:prstGeom>
      </xdr:spPr>
    </xdr:pic>
    <xdr:clientData/>
  </xdr:twoCellAnchor>
  <xdr:twoCellAnchor editAs="oneCell">
    <xdr:from>
      <xdr:col>43</xdr:col>
      <xdr:colOff>381000</xdr:colOff>
      <xdr:row>32</xdr:row>
      <xdr:rowOff>625928</xdr:rowOff>
    </xdr:from>
    <xdr:to>
      <xdr:col>48</xdr:col>
      <xdr:colOff>503464</xdr:colOff>
      <xdr:row>67</xdr:row>
      <xdr:rowOff>115273</xdr:rowOff>
    </xdr:to>
    <xdr:pic>
      <xdr:nvPicPr>
        <xdr:cNvPr id="4" name="Immagin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38871525" y="9712778"/>
          <a:ext cx="6075589" cy="6614045"/>
        </a:xfrm>
        <a:prstGeom prst="rect">
          <a:avLst/>
        </a:prstGeom>
      </xdr:spPr>
    </xdr:pic>
    <xdr:clientData/>
  </xdr:twoCellAnchor>
  <xdr:twoCellAnchor editAs="oneCell">
    <xdr:from>
      <xdr:col>33</xdr:col>
      <xdr:colOff>1251857</xdr:colOff>
      <xdr:row>45</xdr:row>
      <xdr:rowOff>81642</xdr:rowOff>
    </xdr:from>
    <xdr:to>
      <xdr:col>43</xdr:col>
      <xdr:colOff>179441</xdr:colOff>
      <xdr:row>65</xdr:row>
      <xdr:rowOff>4129</xdr:rowOff>
    </xdr:to>
    <xdr:pic>
      <xdr:nvPicPr>
        <xdr:cNvPr id="5" name="Immagin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30217382" y="12073617"/>
          <a:ext cx="8452584" cy="3160985"/>
        </a:xfrm>
        <a:prstGeom prst="rect">
          <a:avLst/>
        </a:prstGeom>
      </xdr:spPr>
    </xdr:pic>
    <xdr:clientData/>
  </xdr:twoCellAnchor>
  <xdr:twoCellAnchor editAs="oneCell">
    <xdr:from>
      <xdr:col>39</xdr:col>
      <xdr:colOff>207818</xdr:colOff>
      <xdr:row>86</xdr:row>
      <xdr:rowOff>95250</xdr:rowOff>
    </xdr:from>
    <xdr:to>
      <xdr:col>48</xdr:col>
      <xdr:colOff>183871</xdr:colOff>
      <xdr:row>91</xdr:row>
      <xdr:rowOff>3352</xdr:rowOff>
    </xdr:to>
    <xdr:pic>
      <xdr:nvPicPr>
        <xdr:cNvPr id="6" name="Immagin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35459843" y="20678775"/>
          <a:ext cx="9167678" cy="1923073"/>
        </a:xfrm>
        <a:prstGeom prst="rect">
          <a:avLst/>
        </a:prstGeom>
      </xdr:spPr>
    </xdr:pic>
    <xdr:clientData/>
  </xdr:twoCellAnchor>
  <xdr:twoCellAnchor editAs="oneCell">
    <xdr:from>
      <xdr:col>40</xdr:col>
      <xdr:colOff>65562</xdr:colOff>
      <xdr:row>110</xdr:row>
      <xdr:rowOff>13607</xdr:rowOff>
    </xdr:from>
    <xdr:to>
      <xdr:col>48</xdr:col>
      <xdr:colOff>1115623</xdr:colOff>
      <xdr:row>117</xdr:row>
      <xdr:rowOff>51264</xdr:rowOff>
    </xdr:to>
    <xdr:pic>
      <xdr:nvPicPr>
        <xdr:cNvPr id="7" name="Immagin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36127212" y="26531207"/>
          <a:ext cx="9432061" cy="2243994"/>
        </a:xfrm>
        <a:prstGeom prst="rect">
          <a:avLst/>
        </a:prstGeom>
      </xdr:spPr>
    </xdr:pic>
    <xdr:clientData/>
  </xdr:twoCellAnchor>
  <xdr:twoCellAnchor editAs="oneCell">
    <xdr:from>
      <xdr:col>48</xdr:col>
      <xdr:colOff>653144</xdr:colOff>
      <xdr:row>33</xdr:row>
      <xdr:rowOff>108857</xdr:rowOff>
    </xdr:from>
    <xdr:to>
      <xdr:col>52</xdr:col>
      <xdr:colOff>1093384</xdr:colOff>
      <xdr:row>38</xdr:row>
      <xdr:rowOff>26177</xdr:rowOff>
    </xdr:to>
    <xdr:pic>
      <xdr:nvPicPr>
        <xdr:cNvPr id="8" name="Immagin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45096794" y="9852932"/>
          <a:ext cx="5202740" cy="1424867"/>
        </a:xfrm>
        <a:prstGeom prst="rect">
          <a:avLst/>
        </a:prstGeom>
      </xdr:spPr>
    </xdr:pic>
    <xdr:clientData/>
  </xdr:twoCellAnchor>
  <xdr:twoCellAnchor editAs="oneCell">
    <xdr:from>
      <xdr:col>50</xdr:col>
      <xdr:colOff>993321</xdr:colOff>
      <xdr:row>86</xdr:row>
      <xdr:rowOff>81642</xdr:rowOff>
    </xdr:from>
    <xdr:to>
      <xdr:col>57</xdr:col>
      <xdr:colOff>653142</xdr:colOff>
      <xdr:row>92</xdr:row>
      <xdr:rowOff>47532</xdr:rowOff>
    </xdr:to>
    <xdr:pic>
      <xdr:nvPicPr>
        <xdr:cNvPr id="9" name="Immagin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47818221" y="20665167"/>
          <a:ext cx="7994196" cy="21488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42</xdr:col>
      <xdr:colOff>598714</xdr:colOff>
      <xdr:row>12</xdr:row>
      <xdr:rowOff>13608</xdr:rowOff>
    </xdr:from>
    <xdr:to>
      <xdr:col>53</xdr:col>
      <xdr:colOff>1169</xdr:colOff>
      <xdr:row>19</xdr:row>
      <xdr:rowOff>57319</xdr:rowOff>
    </xdr:to>
    <xdr:pic>
      <xdr:nvPicPr>
        <xdr:cNvPr id="2" name="Immagin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7446857" y="3660322"/>
          <a:ext cx="8383170" cy="120031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co Greco" id="{A09EAF42-4607-4CBC-B7E7-05B384BA923C}" userId="S::Marco.Greco@rothoblaas.com::c5fe7050-9634-4dce-9b36-8378c4baad17"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50" dT="2022-11-28T15:23:29.80" personId="{A09EAF42-4607-4CBC-B7E7-05B384BA923C}" id="{23294385-45C6-47A4-A980-0BB7287C3CCB}">
    <text xml:space="preserve">"la resistenza a taglio per rotolamento (rolling shear) è approssimativamente uguale al doppio della resistenza a trazione in direzione perpendicolare alla fibratura"
Per quali verifiche si deve adottare la resistenza a "rototaglio"? - promo_legno (promolegno.com) 
</text>
    <extLst>
      <x:ext xmlns:xltc2="http://schemas.microsoft.com/office/spreadsheetml/2020/threadedcomments2" uri="{F7C98A9C-CBB3-438F-8F68-D28B6AF4A901}">
        <xltc2:checksum>2658681374</xltc2:checksum>
        <xltc2:hyperlink startIndex="168" length="97" url="https://risponde.promolegno.com/domanda/data/per-quali-verifiche-si-deve-adottare-la-resistenza-a-rototaglio/index.html"/>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AM6" dT="2022-08-08T09:30:09.18" personId="{A09EAF42-4607-4CBC-B7E7-05B384BA923C}" id="{222E7172-4C1F-4512-94F6-87163B4A7FDD}">
    <text>EC5 sezione 6.1.5</text>
  </threadedComment>
</ThreadedComments>
</file>

<file path=xl/threadedComments/threadedComment3.xml><?xml version="1.0" encoding="utf-8"?>
<ThreadedComments xmlns="http://schemas.microsoft.com/office/spreadsheetml/2018/threadedcomments" xmlns:x="http://schemas.openxmlformats.org/spreadsheetml/2006/main">
  <threadedComment ref="AM6" dT="2022-08-08T09:30:09.18" personId="{A09EAF42-4607-4CBC-B7E7-05B384BA923C}" id="{A82E0F57-CE29-4910-A5B7-0FBFC6CF6114}">
    <text>EC5 sezione 6.1.5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rothoblaas.com/privacy-policy"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856F5-C04D-410B-A9DF-FB137B32745D}">
  <sheetPr codeName="Foglio14"/>
  <dimension ref="A1:K65"/>
  <sheetViews>
    <sheetView showGridLines="0" showRowColHeaders="0" tabSelected="1" zoomScaleNormal="100" workbookViewId="0">
      <selection activeCell="B12" sqref="B12:E12"/>
    </sheetView>
  </sheetViews>
  <sheetFormatPr defaultColWidth="0" defaultRowHeight="12.75" customHeight="1" zeroHeight="1" x14ac:dyDescent="0.2"/>
  <cols>
    <col min="1" max="2" width="5.625" customWidth="1"/>
    <col min="3" max="3" width="18.625" customWidth="1"/>
    <col min="4" max="4" width="78.625" customWidth="1"/>
    <col min="5" max="5" width="18.625" customWidth="1"/>
    <col min="6" max="6" width="5.625" customWidth="1"/>
    <col min="7" max="11" width="0" hidden="1" customWidth="1"/>
    <col min="12" max="16384" width="9" hidden="1"/>
  </cols>
  <sheetData>
    <row r="1" spans="1:11" x14ac:dyDescent="0.2">
      <c r="A1" s="353"/>
      <c r="B1" s="353"/>
      <c r="C1" s="353"/>
      <c r="D1" s="353"/>
      <c r="E1" s="353"/>
      <c r="F1" s="353"/>
    </row>
    <row r="2" spans="1:11" ht="12.95" customHeight="1" x14ac:dyDescent="0.2">
      <c r="A2" s="353"/>
      <c r="B2" s="353"/>
      <c r="C2" s="353"/>
      <c r="D2" s="368" t="s">
        <v>1369</v>
      </c>
      <c r="E2" s="354" t="s">
        <v>1343</v>
      </c>
      <c r="F2" s="353"/>
    </row>
    <row r="3" spans="1:11" x14ac:dyDescent="0.2">
      <c r="A3" s="353"/>
      <c r="B3" s="353"/>
      <c r="C3" s="353"/>
      <c r="D3" s="368"/>
      <c r="E3" s="369" t="s">
        <v>516</v>
      </c>
      <c r="F3" s="353"/>
    </row>
    <row r="4" spans="1:11" x14ac:dyDescent="0.2">
      <c r="A4" s="353"/>
      <c r="B4" s="353"/>
      <c r="C4" s="353"/>
      <c r="D4" s="368"/>
      <c r="E4" s="369"/>
      <c r="F4" s="353"/>
    </row>
    <row r="5" spans="1:11" x14ac:dyDescent="0.2">
      <c r="A5" s="353"/>
      <c r="B5" s="353"/>
      <c r="C5" s="353"/>
      <c r="D5" s="353"/>
      <c r="E5" s="353"/>
      <c r="F5" s="353"/>
    </row>
    <row r="6" spans="1:11" ht="15.75" x14ac:dyDescent="0.2">
      <c r="A6" s="353"/>
      <c r="B6" s="353"/>
      <c r="C6" s="353"/>
      <c r="D6" s="355" t="s">
        <v>1370</v>
      </c>
      <c r="E6" s="353"/>
      <c r="F6" s="353"/>
    </row>
    <row r="7" spans="1:11" ht="12.75" customHeight="1" x14ac:dyDescent="0.2">
      <c r="A7" s="353"/>
      <c r="B7" s="353"/>
      <c r="C7" s="370" t="s">
        <v>1371</v>
      </c>
      <c r="D7" s="370"/>
      <c r="E7" s="370"/>
      <c r="F7" s="353"/>
    </row>
    <row r="8" spans="1:11" ht="18" customHeight="1" x14ac:dyDescent="0.2">
      <c r="A8" s="353"/>
      <c r="B8" s="353"/>
      <c r="C8" s="370"/>
      <c r="D8" s="370"/>
      <c r="E8" s="370"/>
      <c r="F8" s="353"/>
    </row>
    <row r="9" spans="1:11" ht="18" customHeight="1" x14ac:dyDescent="0.2">
      <c r="A9" s="353"/>
      <c r="B9" s="353"/>
      <c r="C9" s="370"/>
      <c r="D9" s="370"/>
      <c r="E9" s="370"/>
      <c r="F9" s="353"/>
    </row>
    <row r="10" spans="1:11" x14ac:dyDescent="0.2">
      <c r="A10" s="353"/>
      <c r="B10" s="353"/>
      <c r="C10" s="353"/>
      <c r="D10" s="353"/>
      <c r="E10" s="353"/>
      <c r="F10" s="353"/>
    </row>
    <row r="11" spans="1:11" x14ac:dyDescent="0.2">
      <c r="A11" s="356"/>
      <c r="B11" s="356"/>
      <c r="C11" s="356"/>
      <c r="D11" s="356"/>
      <c r="E11" s="356"/>
      <c r="F11" s="356"/>
    </row>
    <row r="12" spans="1:11" ht="264" customHeight="1" x14ac:dyDescent="0.2">
      <c r="A12" s="356"/>
      <c r="B12" s="371" t="e" vm="1">
        <v>#VALUE!</v>
      </c>
      <c r="C12" s="371"/>
      <c r="D12" s="371"/>
      <c r="E12" s="371"/>
      <c r="F12" s="356"/>
    </row>
    <row r="13" spans="1:11" x14ac:dyDescent="0.2">
      <c r="A13" s="356"/>
      <c r="B13" s="356"/>
      <c r="C13" s="356"/>
      <c r="D13" s="356"/>
      <c r="E13" s="356"/>
      <c r="F13" s="356"/>
    </row>
    <row r="14" spans="1:11" ht="14.25" x14ac:dyDescent="0.2">
      <c r="A14" s="356"/>
      <c r="B14" s="357" t="s">
        <v>1344</v>
      </c>
      <c r="C14" s="356"/>
      <c r="D14" s="356"/>
      <c r="E14" s="356"/>
      <c r="F14" s="356"/>
    </row>
    <row r="15" spans="1:11" x14ac:dyDescent="0.2">
      <c r="A15" s="356"/>
      <c r="B15" s="356"/>
      <c r="C15" s="358"/>
      <c r="D15" s="358"/>
      <c r="E15" s="358"/>
      <c r="F15" s="356"/>
    </row>
    <row r="16" spans="1:11" ht="200.1" customHeight="1" x14ac:dyDescent="0.2">
      <c r="A16" s="356"/>
      <c r="B16" s="356"/>
      <c r="C16" s="365" t="s">
        <v>1345</v>
      </c>
      <c r="D16" s="365"/>
      <c r="E16" s="365"/>
      <c r="F16" s="356"/>
      <c r="K16" s="360"/>
    </row>
    <row r="17" spans="1:9" x14ac:dyDescent="0.2">
      <c r="A17" s="356"/>
      <c r="B17" s="356"/>
      <c r="C17" s="361"/>
      <c r="D17" s="358"/>
      <c r="E17" s="358"/>
      <c r="F17" s="356"/>
    </row>
    <row r="18" spans="1:9" ht="14.25" x14ac:dyDescent="0.2">
      <c r="A18" s="356"/>
      <c r="B18" s="357" t="s">
        <v>1346</v>
      </c>
      <c r="C18" s="361"/>
      <c r="D18" s="358"/>
      <c r="E18" s="358"/>
      <c r="F18" s="356"/>
    </row>
    <row r="19" spans="1:9" x14ac:dyDescent="0.2">
      <c r="A19" s="356"/>
      <c r="B19" s="356"/>
      <c r="C19" s="361"/>
      <c r="D19" s="358"/>
      <c r="E19" s="358"/>
      <c r="F19" s="356"/>
    </row>
    <row r="20" spans="1:9" ht="39.950000000000003" customHeight="1" x14ac:dyDescent="0.2">
      <c r="A20" s="356"/>
      <c r="B20" s="362"/>
      <c r="C20" s="367" t="s">
        <v>1372</v>
      </c>
      <c r="D20" s="367"/>
      <c r="E20" s="367"/>
      <c r="F20" s="356"/>
      <c r="I20" s="331"/>
    </row>
    <row r="21" spans="1:9" x14ac:dyDescent="0.2">
      <c r="A21" s="356"/>
      <c r="B21" s="356"/>
      <c r="C21" s="359"/>
      <c r="D21" s="358"/>
      <c r="E21" s="358"/>
      <c r="F21" s="356"/>
    </row>
    <row r="22" spans="1:9" ht="14.25" x14ac:dyDescent="0.2">
      <c r="A22" s="356"/>
      <c r="B22" s="357" t="s">
        <v>1347</v>
      </c>
      <c r="C22" s="361"/>
      <c r="D22" s="358"/>
      <c r="E22" s="358"/>
      <c r="F22" s="356"/>
    </row>
    <row r="23" spans="1:9" x14ac:dyDescent="0.2">
      <c r="A23" s="356"/>
      <c r="B23" s="356"/>
      <c r="C23" s="361"/>
      <c r="D23" s="358"/>
      <c r="E23" s="358"/>
      <c r="F23" s="356"/>
    </row>
    <row r="24" spans="1:9" ht="153" customHeight="1" x14ac:dyDescent="0.2">
      <c r="A24" s="356"/>
      <c r="B24" s="356"/>
      <c r="C24" s="365" t="s">
        <v>1348</v>
      </c>
      <c r="D24" s="365"/>
      <c r="E24" s="365"/>
      <c r="F24" s="356"/>
    </row>
    <row r="25" spans="1:9" x14ac:dyDescent="0.2">
      <c r="A25" s="356"/>
      <c r="B25" s="356"/>
      <c r="C25" s="359"/>
      <c r="D25" s="358"/>
      <c r="E25" s="358"/>
      <c r="F25" s="356"/>
    </row>
    <row r="26" spans="1:9" ht="14.25" x14ac:dyDescent="0.2">
      <c r="A26" s="356"/>
      <c r="B26" s="357" t="s">
        <v>1349</v>
      </c>
      <c r="C26" s="358"/>
      <c r="D26" s="358"/>
      <c r="E26" s="358"/>
      <c r="F26" s="356"/>
    </row>
    <row r="27" spans="1:9" x14ac:dyDescent="0.2">
      <c r="A27" s="356"/>
      <c r="B27" s="356"/>
      <c r="C27" s="359"/>
      <c r="D27" s="358"/>
      <c r="E27" s="358"/>
      <c r="F27" s="356"/>
    </row>
    <row r="28" spans="1:9" ht="306" customHeight="1" x14ac:dyDescent="0.2">
      <c r="A28" s="356"/>
      <c r="B28" s="356"/>
      <c r="C28" s="365" t="s">
        <v>1350</v>
      </c>
      <c r="D28" s="365"/>
      <c r="E28" s="365"/>
      <c r="F28" s="356"/>
    </row>
    <row r="29" spans="1:9" x14ac:dyDescent="0.2">
      <c r="A29" s="356"/>
      <c r="B29" s="356"/>
      <c r="C29" s="359"/>
      <c r="D29" s="358"/>
      <c r="E29" s="358"/>
      <c r="F29" s="356"/>
    </row>
    <row r="30" spans="1:9" ht="14.25" x14ac:dyDescent="0.2">
      <c r="A30" s="356"/>
      <c r="B30" s="357" t="s">
        <v>1351</v>
      </c>
      <c r="C30" s="358"/>
      <c r="D30" s="358"/>
      <c r="E30" s="358"/>
      <c r="F30" s="356"/>
    </row>
    <row r="31" spans="1:9" x14ac:dyDescent="0.2">
      <c r="A31" s="356"/>
      <c r="B31" s="356"/>
      <c r="C31" s="359"/>
      <c r="D31" s="358"/>
      <c r="E31" s="358"/>
      <c r="F31" s="356"/>
    </row>
    <row r="32" spans="1:9" ht="63.95" customHeight="1" x14ac:dyDescent="0.2">
      <c r="A32" s="356"/>
      <c r="B32" s="356"/>
      <c r="C32" s="365" t="s">
        <v>1352</v>
      </c>
      <c r="D32" s="365"/>
      <c r="E32" s="365"/>
      <c r="F32" s="356"/>
    </row>
    <row r="33" spans="1:6" x14ac:dyDescent="0.2">
      <c r="A33" s="356"/>
      <c r="B33" s="356"/>
      <c r="C33" s="359"/>
      <c r="D33" s="358"/>
      <c r="E33" s="358"/>
      <c r="F33" s="356"/>
    </row>
    <row r="34" spans="1:6" ht="14.25" x14ac:dyDescent="0.2">
      <c r="A34" s="356"/>
      <c r="B34" s="357" t="s">
        <v>1353</v>
      </c>
      <c r="C34" s="358"/>
      <c r="D34" s="358"/>
      <c r="E34" s="358"/>
      <c r="F34" s="356"/>
    </row>
    <row r="35" spans="1:6" x14ac:dyDescent="0.2">
      <c r="A35" s="356"/>
      <c r="B35" s="356"/>
      <c r="C35" s="359"/>
      <c r="D35" s="358"/>
      <c r="E35" s="358"/>
      <c r="F35" s="356"/>
    </row>
    <row r="36" spans="1:6" ht="102" customHeight="1" x14ac:dyDescent="0.2">
      <c r="A36" s="356"/>
      <c r="B36" s="356"/>
      <c r="C36" s="365" t="s">
        <v>1354</v>
      </c>
      <c r="D36" s="365"/>
      <c r="E36" s="365"/>
      <c r="F36" s="356"/>
    </row>
    <row r="37" spans="1:6" x14ac:dyDescent="0.2">
      <c r="A37" s="356"/>
      <c r="B37" s="356"/>
      <c r="C37" s="359"/>
      <c r="D37" s="358"/>
      <c r="E37" s="358"/>
      <c r="F37" s="356"/>
    </row>
    <row r="38" spans="1:6" ht="14.25" x14ac:dyDescent="0.2">
      <c r="A38" s="356"/>
      <c r="B38" s="357" t="s">
        <v>1355</v>
      </c>
      <c r="C38" s="358"/>
      <c r="D38" s="358"/>
      <c r="E38" s="358"/>
      <c r="F38" s="356"/>
    </row>
    <row r="39" spans="1:6" x14ac:dyDescent="0.2">
      <c r="A39" s="356"/>
      <c r="B39" s="356"/>
      <c r="C39" s="359"/>
      <c r="D39" s="358"/>
      <c r="E39" s="358"/>
      <c r="F39" s="356"/>
    </row>
    <row r="40" spans="1:6" ht="280.5" customHeight="1" x14ac:dyDescent="0.2">
      <c r="A40" s="356"/>
      <c r="B40" s="356"/>
      <c r="C40" s="365" t="s">
        <v>1356</v>
      </c>
      <c r="D40" s="365"/>
      <c r="E40" s="365"/>
      <c r="F40" s="356"/>
    </row>
    <row r="41" spans="1:6" x14ac:dyDescent="0.2">
      <c r="A41" s="356"/>
      <c r="B41" s="356"/>
      <c r="C41" s="359"/>
      <c r="D41" s="358"/>
      <c r="E41" s="358"/>
      <c r="F41" s="356"/>
    </row>
    <row r="42" spans="1:6" ht="14.25" x14ac:dyDescent="0.2">
      <c r="A42" s="356"/>
      <c r="B42" s="357" t="s">
        <v>1357</v>
      </c>
      <c r="C42" s="358"/>
      <c r="D42" s="358"/>
      <c r="E42" s="358"/>
      <c r="F42" s="356"/>
    </row>
    <row r="43" spans="1:6" x14ac:dyDescent="0.2">
      <c r="A43" s="356"/>
      <c r="B43" s="356"/>
      <c r="C43" s="359"/>
      <c r="D43" s="358"/>
      <c r="E43" s="358"/>
      <c r="F43" s="356"/>
    </row>
    <row r="44" spans="1:6" ht="51" customHeight="1" x14ac:dyDescent="0.2">
      <c r="A44" s="356"/>
      <c r="B44" s="356"/>
      <c r="C44" s="365" t="s">
        <v>1358</v>
      </c>
      <c r="D44" s="365"/>
      <c r="E44" s="365"/>
      <c r="F44" s="356"/>
    </row>
    <row r="45" spans="1:6" x14ac:dyDescent="0.2">
      <c r="A45" s="356"/>
      <c r="B45" s="356"/>
      <c r="C45" s="359"/>
      <c r="D45" s="358"/>
      <c r="E45" s="358"/>
      <c r="F45" s="356"/>
    </row>
    <row r="46" spans="1:6" ht="14.25" x14ac:dyDescent="0.2">
      <c r="A46" s="356"/>
      <c r="B46" s="357" t="s">
        <v>1359</v>
      </c>
      <c r="C46" s="358"/>
      <c r="D46" s="358"/>
      <c r="E46" s="358"/>
      <c r="F46" s="356"/>
    </row>
    <row r="47" spans="1:6" x14ac:dyDescent="0.2">
      <c r="A47" s="356"/>
      <c r="B47" s="356"/>
      <c r="C47" s="359"/>
      <c r="D47" s="358"/>
      <c r="E47" s="358"/>
      <c r="F47" s="356"/>
    </row>
    <row r="48" spans="1:6" ht="25.5" customHeight="1" x14ac:dyDescent="0.2">
      <c r="A48" s="356"/>
      <c r="B48" s="356"/>
      <c r="C48" s="365" t="s">
        <v>1360</v>
      </c>
      <c r="D48" s="365"/>
      <c r="E48" s="365"/>
      <c r="F48" s="356"/>
    </row>
    <row r="49" spans="1:10" x14ac:dyDescent="0.2">
      <c r="A49" s="356"/>
      <c r="B49" s="356"/>
      <c r="C49" s="359"/>
      <c r="D49" s="358"/>
      <c r="E49" s="358"/>
      <c r="F49" s="356"/>
    </row>
    <row r="50" spans="1:10" ht="14.25" x14ac:dyDescent="0.2">
      <c r="A50" s="356"/>
      <c r="B50" s="357" t="s">
        <v>1361</v>
      </c>
      <c r="C50" s="358"/>
      <c r="D50" s="358"/>
      <c r="E50" s="358"/>
      <c r="F50" s="356"/>
    </row>
    <row r="51" spans="1:10" x14ac:dyDescent="0.2">
      <c r="A51" s="356"/>
      <c r="B51" s="356"/>
      <c r="C51" s="359"/>
      <c r="D51" s="358"/>
      <c r="E51" s="358"/>
      <c r="F51" s="356"/>
    </row>
    <row r="52" spans="1:10" ht="25.5" customHeight="1" x14ac:dyDescent="0.2">
      <c r="A52" s="356"/>
      <c r="B52" s="356"/>
      <c r="C52" s="365" t="s">
        <v>1362</v>
      </c>
      <c r="D52" s="365"/>
      <c r="E52" s="365"/>
      <c r="F52" s="356"/>
    </row>
    <row r="53" spans="1:10" x14ac:dyDescent="0.2">
      <c r="A53" s="356"/>
      <c r="B53" s="356"/>
      <c r="C53" s="359"/>
      <c r="D53" s="358"/>
      <c r="E53" s="358"/>
      <c r="F53" s="356"/>
    </row>
    <row r="54" spans="1:10" ht="14.25" x14ac:dyDescent="0.2">
      <c r="A54" s="356"/>
      <c r="B54" s="357" t="s">
        <v>1363</v>
      </c>
      <c r="C54" s="358"/>
      <c r="D54" s="358"/>
      <c r="E54" s="358"/>
      <c r="F54" s="356"/>
      <c r="J54" s="363"/>
    </row>
    <row r="55" spans="1:10" x14ac:dyDescent="0.2">
      <c r="A55" s="356"/>
      <c r="B55" s="356"/>
      <c r="C55" s="359"/>
      <c r="D55" s="358"/>
      <c r="E55" s="358"/>
      <c r="F55" s="356"/>
    </row>
    <row r="56" spans="1:10" ht="12.75" customHeight="1" x14ac:dyDescent="0.2">
      <c r="A56" s="356"/>
      <c r="B56" s="356"/>
      <c r="C56" s="365" t="s">
        <v>1364</v>
      </c>
      <c r="D56" s="365"/>
      <c r="E56" s="365"/>
      <c r="F56" s="356"/>
    </row>
    <row r="57" spans="1:10" x14ac:dyDescent="0.2">
      <c r="A57" s="356"/>
      <c r="B57" s="356"/>
      <c r="C57" s="359"/>
      <c r="D57" s="358"/>
      <c r="E57" s="358"/>
      <c r="F57" s="356"/>
    </row>
    <row r="58" spans="1:10" ht="14.25" x14ac:dyDescent="0.2">
      <c r="A58" s="356"/>
      <c r="B58" s="357" t="s">
        <v>1365</v>
      </c>
      <c r="C58" s="358"/>
      <c r="D58" s="358"/>
      <c r="E58" s="358"/>
      <c r="F58" s="356"/>
    </row>
    <row r="59" spans="1:10" ht="12.75" customHeight="1" x14ac:dyDescent="0.2">
      <c r="A59" s="356"/>
      <c r="B59" s="356"/>
      <c r="C59" s="359"/>
      <c r="D59" s="358"/>
      <c r="E59" s="358"/>
      <c r="F59" s="356"/>
    </row>
    <row r="60" spans="1:10" ht="12.75" customHeight="1" x14ac:dyDescent="0.2">
      <c r="A60" s="356"/>
      <c r="B60" s="356"/>
      <c r="C60" s="365" t="s">
        <v>1366</v>
      </c>
      <c r="D60" s="365"/>
      <c r="E60" s="365"/>
      <c r="F60" s="356"/>
    </row>
    <row r="61" spans="1:10" ht="12.75" customHeight="1" x14ac:dyDescent="0.2">
      <c r="A61" s="356"/>
      <c r="B61" s="356"/>
      <c r="C61" s="366" t="s">
        <v>1367</v>
      </c>
      <c r="D61" s="365"/>
      <c r="E61" s="365"/>
      <c r="F61" s="356"/>
    </row>
    <row r="62" spans="1:10" ht="12.75" customHeight="1" x14ac:dyDescent="0.2">
      <c r="A62" s="356"/>
      <c r="B62" s="356"/>
      <c r="C62" s="356"/>
      <c r="D62" s="356"/>
      <c r="E62" s="356"/>
      <c r="F62" s="356"/>
    </row>
    <row r="63" spans="1:10" x14ac:dyDescent="0.2">
      <c r="A63" s="364" t="s">
        <v>1368</v>
      </c>
      <c r="B63" s="364"/>
      <c r="C63" s="364"/>
      <c r="D63" s="364"/>
      <c r="E63" s="364"/>
      <c r="F63" s="364"/>
    </row>
    <row r="64" spans="1:10" x14ac:dyDescent="0.2">
      <c r="A64" s="364"/>
      <c r="B64" s="364"/>
      <c r="C64" s="364"/>
      <c r="D64" s="364"/>
      <c r="E64" s="364"/>
      <c r="F64" s="364"/>
    </row>
    <row r="65" spans="1:6" x14ac:dyDescent="0.2">
      <c r="A65" s="364"/>
      <c r="B65" s="364"/>
      <c r="C65" s="364"/>
      <c r="D65" s="364"/>
      <c r="E65" s="364"/>
      <c r="F65" s="364"/>
    </row>
  </sheetData>
  <sheetProtection algorithmName="SHA-512" hashValue="wcTv3Cf2ZXDd87vXuXvxg+h/OJiTryeo/r1CpR01m2ufTz9Ur32fPhJnJJutgHKXVHx0Gu6zG2dxBGC58LwVkA==" saltValue="VjkXPHA2C3d+O23uFObesA==" spinCount="100000" sheet="1" objects="1" scenarios="1" selectLockedCells="1"/>
  <mergeCells count="18">
    <mergeCell ref="C20:E20"/>
    <mergeCell ref="D2:D4"/>
    <mergeCell ref="E3:E4"/>
    <mergeCell ref="C7:E9"/>
    <mergeCell ref="B12:E12"/>
    <mergeCell ref="C16:E16"/>
    <mergeCell ref="A63:F65"/>
    <mergeCell ref="C24:E24"/>
    <mergeCell ref="C28:E28"/>
    <mergeCell ref="C32:E32"/>
    <mergeCell ref="C36:E36"/>
    <mergeCell ref="C40:E40"/>
    <mergeCell ref="C44:E44"/>
    <mergeCell ref="C48:E48"/>
    <mergeCell ref="C52:E52"/>
    <mergeCell ref="C56:E56"/>
    <mergeCell ref="C60:E60"/>
    <mergeCell ref="C61:E61"/>
  </mergeCells>
  <hyperlinks>
    <hyperlink ref="C61" r:id="rId1" xr:uid="{13C0A4ED-764D-4D9F-B644-5EC3E6787C7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EA2B3-623C-4E94-BF98-5F5E0EDD0D57}">
  <sheetPr codeName="Foglio8">
    <tabColor rgb="FFF9ADAD"/>
  </sheetPr>
  <dimension ref="C2:BL118"/>
  <sheetViews>
    <sheetView showGridLines="0" topLeftCell="AR1" zoomScale="70" zoomScaleNormal="70" workbookViewId="0">
      <selection activeCell="J52" sqref="J52"/>
    </sheetView>
  </sheetViews>
  <sheetFormatPr defaultRowHeight="12.75" outlineLevelCol="1" x14ac:dyDescent="0.2"/>
  <cols>
    <col min="1" max="2" width="7" customWidth="1"/>
    <col min="3" max="3" width="22" bestFit="1" customWidth="1"/>
    <col min="4" max="6" width="10.625" customWidth="1"/>
    <col min="7" max="7" width="12.625" customWidth="1"/>
    <col min="8" max="9" width="10.625" customWidth="1"/>
    <col min="10" max="10" width="28.25" bestFit="1" customWidth="1"/>
    <col min="11" max="11" width="11.625" customWidth="1"/>
    <col min="12" max="28" width="10.625" customWidth="1" outlineLevel="1"/>
    <col min="29" max="31" width="10.625" customWidth="1"/>
    <col min="32" max="32" width="15.375" bestFit="1" customWidth="1"/>
    <col min="33" max="33" width="10.625" customWidth="1"/>
    <col min="34" max="34" width="28.25" bestFit="1" customWidth="1"/>
    <col min="35" max="35" width="11.75" customWidth="1"/>
    <col min="36" max="36" width="10.625" customWidth="1"/>
    <col min="37" max="41" width="10.625" customWidth="1" outlineLevel="1"/>
    <col min="42" max="43" width="10.625" customWidth="1"/>
    <col min="44" max="59" width="15.625" customWidth="1"/>
    <col min="60" max="61" width="15.125" bestFit="1" customWidth="1"/>
    <col min="63" max="63" width="11.875" bestFit="1" customWidth="1"/>
    <col min="64" max="64" width="9" customWidth="1"/>
  </cols>
  <sheetData>
    <row r="2" spans="3:61" ht="30.75" customHeight="1" x14ac:dyDescent="0.2">
      <c r="C2" s="436" t="s">
        <v>122</v>
      </c>
      <c r="D2" s="436"/>
      <c r="E2" s="436"/>
      <c r="F2" s="436"/>
      <c r="G2" s="88"/>
      <c r="H2" s="88"/>
      <c r="I2" s="88"/>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row>
    <row r="3" spans="3:61" ht="13.5" thickBot="1" x14ac:dyDescent="0.25"/>
    <row r="4" spans="3:61" ht="48" customHeight="1" x14ac:dyDescent="0.2">
      <c r="C4" s="437" t="s">
        <v>86</v>
      </c>
      <c r="D4" s="438"/>
      <c r="E4" s="438"/>
      <c r="F4" s="438"/>
      <c r="G4" s="438"/>
      <c r="H4" s="438"/>
      <c r="I4" s="439" t="s">
        <v>87</v>
      </c>
      <c r="J4" s="439"/>
      <c r="K4" s="439"/>
      <c r="L4" s="439"/>
      <c r="M4" s="439"/>
      <c r="N4" s="439"/>
      <c r="O4" s="439"/>
      <c r="P4" s="439"/>
      <c r="Q4" s="439"/>
      <c r="R4" s="439"/>
      <c r="S4" s="439"/>
      <c r="T4" s="439"/>
      <c r="U4" s="439"/>
      <c r="V4" s="439"/>
      <c r="W4" s="439"/>
      <c r="X4" s="439"/>
      <c r="Y4" s="439"/>
      <c r="Z4" s="439"/>
      <c r="AA4" s="439"/>
      <c r="AB4" s="439"/>
      <c r="AC4" s="439"/>
      <c r="AD4" s="439"/>
      <c r="AE4" s="439"/>
      <c r="AF4" s="439"/>
      <c r="AG4" s="440" t="s">
        <v>88</v>
      </c>
      <c r="AH4" s="440"/>
      <c r="AI4" s="440"/>
      <c r="AJ4" s="440"/>
      <c r="AK4" s="440"/>
      <c r="AL4" s="440"/>
      <c r="AM4" s="440"/>
      <c r="AN4" s="440"/>
      <c r="AO4" s="440"/>
      <c r="AP4" s="440"/>
      <c r="AQ4" s="440"/>
      <c r="AR4" s="440"/>
      <c r="AS4" s="48"/>
      <c r="AT4" s="124"/>
      <c r="AU4" s="49" t="s">
        <v>183</v>
      </c>
      <c r="AV4" s="49" t="s">
        <v>182</v>
      </c>
      <c r="AW4" s="135"/>
      <c r="AX4" s="135"/>
      <c r="BE4" s="142"/>
      <c r="BF4" s="142"/>
      <c r="BG4" s="142"/>
      <c r="BH4" s="142"/>
      <c r="BI4" s="142"/>
    </row>
    <row r="5" spans="3:61" ht="51" customHeight="1" thickBot="1" x14ac:dyDescent="0.25">
      <c r="C5" s="50" t="s">
        <v>90</v>
      </c>
      <c r="D5" s="51" t="s">
        <v>91</v>
      </c>
      <c r="E5" s="52" t="s">
        <v>92</v>
      </c>
      <c r="F5" s="51" t="s">
        <v>51</v>
      </c>
      <c r="G5" s="51" t="s">
        <v>93</v>
      </c>
      <c r="H5" s="51" t="s">
        <v>94</v>
      </c>
      <c r="I5" s="53" t="s">
        <v>95</v>
      </c>
      <c r="J5" s="53" t="s">
        <v>96</v>
      </c>
      <c r="K5" s="53" t="s">
        <v>97</v>
      </c>
      <c r="L5" s="53" t="s">
        <v>98</v>
      </c>
      <c r="M5" s="53" t="s">
        <v>99</v>
      </c>
      <c r="N5" s="53" t="s">
        <v>100</v>
      </c>
      <c r="O5" s="53" t="s">
        <v>101</v>
      </c>
      <c r="P5" s="53" t="s">
        <v>102</v>
      </c>
      <c r="Q5" s="53" t="s">
        <v>103</v>
      </c>
      <c r="R5" s="53" t="s">
        <v>110</v>
      </c>
      <c r="S5" s="53" t="s">
        <v>104</v>
      </c>
      <c r="T5" s="53" t="s">
        <v>111</v>
      </c>
      <c r="U5" s="53" t="s">
        <v>112</v>
      </c>
      <c r="V5" s="53" t="s">
        <v>113</v>
      </c>
      <c r="W5" s="53" t="s">
        <v>123</v>
      </c>
      <c r="X5" s="53" t="s">
        <v>114</v>
      </c>
      <c r="Y5" s="53" t="s">
        <v>115</v>
      </c>
      <c r="Z5" s="120" t="s">
        <v>241</v>
      </c>
      <c r="AA5" s="53" t="s">
        <v>106</v>
      </c>
      <c r="AB5" s="53" t="s">
        <v>107</v>
      </c>
      <c r="AC5" s="120" t="s">
        <v>108</v>
      </c>
      <c r="AD5" s="53" t="s">
        <v>173</v>
      </c>
      <c r="AE5" s="53" t="s">
        <v>174</v>
      </c>
      <c r="AF5" s="109" t="s">
        <v>172</v>
      </c>
      <c r="AG5" s="28" t="s">
        <v>95</v>
      </c>
      <c r="AH5" s="28" t="s">
        <v>96</v>
      </c>
      <c r="AI5" s="28" t="s">
        <v>97</v>
      </c>
      <c r="AJ5" s="28" t="s">
        <v>123</v>
      </c>
      <c r="AK5" s="28" t="s">
        <v>165</v>
      </c>
      <c r="AL5" s="28" t="s">
        <v>166</v>
      </c>
      <c r="AM5" s="28" t="s">
        <v>167</v>
      </c>
      <c r="AN5" s="28" t="s">
        <v>168</v>
      </c>
      <c r="AO5" s="28" t="s">
        <v>390</v>
      </c>
      <c r="AP5" s="28" t="s">
        <v>170</v>
      </c>
      <c r="AQ5" s="28" t="s">
        <v>171</v>
      </c>
      <c r="AR5" s="109" t="s">
        <v>175</v>
      </c>
      <c r="AS5" s="109" t="s">
        <v>176</v>
      </c>
      <c r="AT5" s="109" t="s">
        <v>177</v>
      </c>
      <c r="AU5" s="109" t="s">
        <v>227</v>
      </c>
      <c r="AV5" s="109" t="s">
        <v>227</v>
      </c>
      <c r="AW5" s="136"/>
      <c r="AX5" s="136"/>
      <c r="BE5" s="143"/>
      <c r="BF5" s="143"/>
      <c r="BG5" s="143"/>
      <c r="BH5" s="143"/>
      <c r="BI5" s="143"/>
    </row>
    <row r="6" spans="3:61" ht="52.5" customHeight="1" thickBot="1" x14ac:dyDescent="0.25">
      <c r="C6" s="42" t="str">
        <f>'LOCK-T'!H97</f>
        <v>LOCK-T 100 290</v>
      </c>
      <c r="D6" s="43">
        <f>VLOOKUP(VLOOKUP(C6,Data!$AA$4:$AD$24,4,FALSE),Data!$I$4:$S$15,2,FALSE)</f>
        <v>290</v>
      </c>
      <c r="E6" s="43">
        <f>IF(OR(C6="Lock-T 80",C6="Lock-T 100",C6="Lock-T 120"),17.5,25)</f>
        <v>25</v>
      </c>
      <c r="F6" s="42">
        <f>VLOOKUP(C6,Data!$AA$4:$AF$24,6,FALSE)</f>
        <v>4</v>
      </c>
      <c r="G6" s="43">
        <f>E6*F6</f>
        <v>100</v>
      </c>
      <c r="H6" s="43">
        <f>VLOOKUP(C6,Data!$AA$4:$AH$24,8,FALSE)</f>
        <v>8</v>
      </c>
      <c r="I6" s="42" t="str">
        <f>'LOCK-T'!H85</f>
        <v>GL22h</v>
      </c>
      <c r="J6" s="42" t="str">
        <f>'LOCK-T'!H124</f>
        <v>LBS Ø 7 x 80</v>
      </c>
      <c r="K6" s="43">
        <f>VLOOKUP(VLOOKUP(C6,Data!$AA$4:$AD$24,4,FALSE),Data!$I$4:$S$15,5,FALSE)*F6</f>
        <v>36</v>
      </c>
      <c r="L6" s="43">
        <f>VLOOKUP(J6,Screws!$C$6:$J$34,3,FALSE)</f>
        <v>7</v>
      </c>
      <c r="M6" s="43">
        <f>VLOOKUP(J6,Screws!$C$6:$J$34,5,FALSE)</f>
        <v>80</v>
      </c>
      <c r="N6" s="43">
        <f>VLOOKUP(J6,Screws!$C$6:$J$34,6,FALSE)</f>
        <v>75</v>
      </c>
      <c r="O6" s="43">
        <f>VLOOKUP(J6,Screws!$C$6:$J$34,7,FALSE)</f>
        <v>14174</v>
      </c>
      <c r="P6" s="43">
        <f>VLOOKUP(J6,Screws!$C$6:$J$34,8,FALSE)</f>
        <v>19200</v>
      </c>
      <c r="Q6" s="43">
        <f>VLOOKUP(I6,Data!$B$4:$C$36,2,FALSE)</f>
        <v>370</v>
      </c>
      <c r="R6" s="43">
        <f>IF(M13&lt;&gt;0,M13,90)</f>
        <v>90</v>
      </c>
      <c r="S6" s="179">
        <f>IF(I6="LVL",K15,IF(I6="CLT",J17,IF(Q6&gt;420,K13,J13)))</f>
        <v>6.7693373198801936</v>
      </c>
      <c r="T6" s="44">
        <f>IF(I6="LVL",0.5,0.3)</f>
        <v>0.3</v>
      </c>
      <c r="U6" s="44">
        <f>IF(I6="LVL",0.5,0.7)</f>
        <v>0.7</v>
      </c>
      <c r="V6" s="45">
        <f>IF(R6&lt;45,T6+U6*R6/45,1)</f>
        <v>1</v>
      </c>
      <c r="W6" s="43">
        <v>0</v>
      </c>
      <c r="X6" s="43">
        <f>IF(I6="LVL",1.5*COS(RADIANS(W6))^2+SIN(RADIANS(W6))^2,1)</f>
        <v>1</v>
      </c>
      <c r="Y6" s="43">
        <f>IF(I6="LVL",15,11.7)</f>
        <v>11.7</v>
      </c>
      <c r="Z6" s="46">
        <f>IF(I6="CLT",20*L6^(0.8)*MIN(N6,M6-H6)^(0.9),V6*Y6*L6*MIN(N6,(M6-H6))*(Q6/(IF(I6="LVL",500,350)))^(0.8)/X6)</f>
        <v>6164.8617526610669</v>
      </c>
      <c r="AA6" s="46">
        <f>0.4*S6*(M6-H6)*L6+MIN(0.4*S6*(M6-H6)*L6,IF(I6="CLT",1,IF(M13=0,5/6,1))*MIN(P6,Z6)/4)</f>
        <v>2649.0446021589028</v>
      </c>
      <c r="AB6" s="46">
        <f>1.15*SQRT(2*O6*S6*L6)+MIN(1.15*SQRT(2*O6*S6*L6),IF(I6="CLT",1,IF(M13=0,5/6,1))*MIN(P6,Z6)/4)</f>
        <v>2617.1958117017621</v>
      </c>
      <c r="AC6" s="46">
        <f>MIN(AA6,AB6)</f>
        <v>2617.1958117017621</v>
      </c>
      <c r="AD6" s="45">
        <f>INDEX(Data!$I$35:$O$46,MATCH(VLOOKUP(C6,Data!$AA$4:$AD$24,4,FALSE),Data!$I$35:$I$46,0),MATCH(F6,Data!$I$35:$O$35,0))</f>
        <v>20.9</v>
      </c>
      <c r="AE6" s="45">
        <f>INDEX(Data!$I$49:$O$60,MATCH(VLOOKUP(C6,Data!$AA$4:$AD$24,4,FALSE),Data!$I$49:$I$60,0),MATCH(F6,Data!$I$49:$O$49,0))</f>
        <v>227</v>
      </c>
      <c r="AF6" s="46">
        <f>(AD12*AC6)/SQRT(1+(((AD12*AC6)/(AE12*Z6))^2))</f>
        <v>61712.071175930527</v>
      </c>
      <c r="AG6" s="42" t="str">
        <f>'LOCK-T'!H71</f>
        <v>GL24h</v>
      </c>
      <c r="AH6" s="42" t="str">
        <f>'LOCK-T'!H111</f>
        <v>LBS Ø 7 x 80</v>
      </c>
      <c r="AI6" s="43">
        <f>VLOOKUP(VLOOKUP(C6,Data!$AA$4:$AD$24,4,FALSE),Data!$I$4:$S$15,5,FALSE)*F6</f>
        <v>36</v>
      </c>
      <c r="AJ6" s="42">
        <v>0</v>
      </c>
      <c r="AK6" s="45">
        <f>VLOOKUP(AG6,Data!$B$2:$F$36,3,FALSE)</f>
        <v>24</v>
      </c>
      <c r="AL6" s="45">
        <f>VLOOKUP(AG6,Data!$B$2:$F$36,4,FALSE)</f>
        <v>2.5</v>
      </c>
      <c r="AM6" s="45">
        <v>1</v>
      </c>
      <c r="AN6" s="46">
        <f>VLOOKUP(VLOOKUP(C6,Data!$AA$4:$AD$24,4,FALSE),Data!$I$4:$L$15,4,FALSE)</f>
        <v>1945</v>
      </c>
      <c r="AO6" s="257">
        <f>G6+F15</f>
        <v>150</v>
      </c>
      <c r="AP6" s="45">
        <f>'LOCK-T'!H70</f>
        <v>400</v>
      </c>
      <c r="AQ6" s="45">
        <f>VLOOKUP(AG6,Data!$B$2:$F$36,5,FALSE)</f>
        <v>1.2</v>
      </c>
      <c r="AR6" s="46">
        <f>AK6*AN6</f>
        <v>46680</v>
      </c>
      <c r="AS6" s="46">
        <f>AM6*AL6*AN6</f>
        <v>4862.5</v>
      </c>
      <c r="AT6" s="46">
        <f>((AP6-AO6)*D6*AQ6)/2</f>
        <v>43500</v>
      </c>
      <c r="AU6" s="47">
        <f>MIN(AF8,AR6)/1000</f>
        <v>46.68</v>
      </c>
      <c r="AV6" s="47">
        <f>MIN(AF8,AS6,AT6)/1000</f>
        <v>4.8624999999999998</v>
      </c>
      <c r="AW6" s="137"/>
      <c r="AX6" s="137"/>
      <c r="BG6" s="159" t="s">
        <v>227</v>
      </c>
      <c r="BH6" s="347" t="s">
        <v>1329</v>
      </c>
    </row>
    <row r="7" spans="3:61" ht="46.5" thickBot="1" x14ac:dyDescent="0.25">
      <c r="Z7" s="120" t="s">
        <v>242</v>
      </c>
      <c r="AF7" s="109" t="s">
        <v>172</v>
      </c>
      <c r="AI7" s="53" t="s">
        <v>98</v>
      </c>
      <c r="AJ7" s="53" t="s">
        <v>103</v>
      </c>
      <c r="BD7" s="99" t="str">
        <f>Translation!B7</f>
        <v>Muescado viga principal</v>
      </c>
      <c r="BE7" s="99" t="s">
        <v>179</v>
      </c>
      <c r="BF7" s="138" t="s">
        <v>222</v>
      </c>
      <c r="BG7" s="160">
        <f>AU6</f>
        <v>46.68</v>
      </c>
      <c r="BH7" s="348">
        <f>(BG7*'LOCK-T'!$H$47)/'LOCK-T'!$H$50</f>
        <v>28.726153846153846</v>
      </c>
    </row>
    <row r="8" spans="3:61" ht="14.25" x14ac:dyDescent="0.2">
      <c r="H8" s="73">
        <f>H6</f>
        <v>8</v>
      </c>
      <c r="I8" s="76" t="str">
        <f t="shared" ref="I8:Y8" si="0">I6</f>
        <v>GL22h</v>
      </c>
      <c r="J8" s="76" t="str">
        <f t="shared" si="0"/>
        <v>LBS Ø 7 x 80</v>
      </c>
      <c r="K8" s="73">
        <f t="shared" si="0"/>
        <v>36</v>
      </c>
      <c r="L8" s="73">
        <f t="shared" si="0"/>
        <v>7</v>
      </c>
      <c r="M8" s="73">
        <f t="shared" si="0"/>
        <v>80</v>
      </c>
      <c r="N8" s="73">
        <f t="shared" si="0"/>
        <v>75</v>
      </c>
      <c r="O8" s="76">
        <f t="shared" si="0"/>
        <v>14174</v>
      </c>
      <c r="P8" s="73">
        <f t="shared" si="0"/>
        <v>19200</v>
      </c>
      <c r="Q8" s="73">
        <f t="shared" si="0"/>
        <v>370</v>
      </c>
      <c r="R8" s="73">
        <f>M13</f>
        <v>0</v>
      </c>
      <c r="S8" s="160">
        <f t="shared" si="0"/>
        <v>6.7693373198801936</v>
      </c>
      <c r="T8" s="160">
        <f t="shared" si="0"/>
        <v>0.3</v>
      </c>
      <c r="U8" s="160">
        <f t="shared" si="0"/>
        <v>0.7</v>
      </c>
      <c r="V8" s="45">
        <f>IF(R8&lt;45,T8+U8*R8/45,1)</f>
        <v>0.3</v>
      </c>
      <c r="W8" s="73">
        <f t="shared" si="0"/>
        <v>0</v>
      </c>
      <c r="X8" s="73">
        <f t="shared" si="0"/>
        <v>1</v>
      </c>
      <c r="Y8" s="76">
        <f t="shared" si="0"/>
        <v>11.7</v>
      </c>
      <c r="Z8" s="46">
        <f>IF(I8="CLT",20*L8^(0.8)*MIN(N8,M8-H8)^(0.9),V8*Y8*L8*MIN(N8,(M8-H8))*(Q8/(IF(I8="LVL",500,350)))^(0.8)/X8)</f>
        <v>1849.4585257983201</v>
      </c>
      <c r="AA8" s="46"/>
      <c r="AB8" s="46"/>
      <c r="AC8" s="46"/>
      <c r="AD8" s="45"/>
      <c r="AE8" s="45"/>
      <c r="AF8" s="46">
        <f>(AD12*AC6)/SQRT(1+(((AD12*AC6)/(AE12*Z8))^2))</f>
        <v>61176.36545505817</v>
      </c>
      <c r="AI8" s="43">
        <f>VLOOKUP(AH6,Screws!$C$6:$J$34,3,FALSE)</f>
        <v>7</v>
      </c>
      <c r="AJ8" s="43">
        <f>VLOOKUP(AG6,Data!$B$4:$C$36,2,FALSE)</f>
        <v>385</v>
      </c>
      <c r="BD8" s="99" t="str">
        <f>Translation!B6</f>
        <v>Muescado columna</v>
      </c>
      <c r="BE8" s="99" t="s">
        <v>180</v>
      </c>
      <c r="BF8" s="138" t="s">
        <v>223</v>
      </c>
      <c r="BG8" s="160">
        <f>AV6</f>
        <v>4.8624999999999998</v>
      </c>
      <c r="BH8" s="348">
        <f>(BG8*'LOCK-T'!$H$47)/'LOCK-T'!$H$50</f>
        <v>2.9923076923076923</v>
      </c>
    </row>
    <row r="9" spans="3:61" ht="14.25" x14ac:dyDescent="0.2">
      <c r="BD9" s="99" t="str">
        <f>Translation!B8</f>
        <v>Muescado viga secundaria</v>
      </c>
      <c r="BE9" s="99" t="s">
        <v>181</v>
      </c>
      <c r="BF9" s="138" t="s">
        <v>224</v>
      </c>
      <c r="BG9" s="160">
        <f>AZ32</f>
        <v>9.7249999999999996</v>
      </c>
      <c r="BH9" s="348">
        <f>(BG9*'LOCK-T'!$H$47)/'LOCK-T'!$H$50</f>
        <v>5.9846153846153847</v>
      </c>
    </row>
    <row r="10" spans="3:61" ht="14.25" x14ac:dyDescent="0.2">
      <c r="BD10" s="99" t="str">
        <f>Translation!B9</f>
        <v>Tornillos inclinados</v>
      </c>
      <c r="BE10" s="99" t="s">
        <v>215</v>
      </c>
      <c r="BF10" s="138" t="s">
        <v>225</v>
      </c>
      <c r="BG10" s="160">
        <f>BF83</f>
        <v>6.1780941232008697</v>
      </c>
      <c r="BH10" s="348">
        <f>(BG10*'LOCK-T'!$H$47)/'LOCK-T'!$H$50</f>
        <v>3.8019040758159202</v>
      </c>
    </row>
    <row r="11" spans="3:61" ht="33.75" thickBot="1" x14ac:dyDescent="0.25">
      <c r="C11" s="50" t="s">
        <v>90</v>
      </c>
      <c r="D11" s="51" t="s">
        <v>51</v>
      </c>
      <c r="E11" s="53" t="s">
        <v>97</v>
      </c>
      <c r="F11" s="53" t="s">
        <v>173</v>
      </c>
      <c r="G11" s="53" t="s">
        <v>174</v>
      </c>
      <c r="H11" s="51"/>
      <c r="I11" s="441" t="s">
        <v>250</v>
      </c>
      <c r="J11" s="441"/>
      <c r="K11" s="441"/>
      <c r="L11" s="441"/>
      <c r="AD11" s="53" t="s">
        <v>388</v>
      </c>
      <c r="AE11" s="53" t="s">
        <v>389</v>
      </c>
      <c r="AG11" s="441" t="s">
        <v>250</v>
      </c>
      <c r="AH11" s="441"/>
      <c r="AI11" s="441"/>
      <c r="AJ11" s="441"/>
      <c r="AN11" s="28" t="s">
        <v>168</v>
      </c>
      <c r="BD11" s="99" t="s">
        <v>214</v>
      </c>
      <c r="BE11" s="99" t="s">
        <v>214</v>
      </c>
      <c r="BF11" s="138" t="s">
        <v>226</v>
      </c>
      <c r="BG11" s="160">
        <f>BG107</f>
        <v>1.554</v>
      </c>
      <c r="BH11" s="349">
        <f>BG11/'LOCK-T'!H51</f>
        <v>1.2432000000000001</v>
      </c>
    </row>
    <row r="12" spans="3:61" ht="29.25" thickBot="1" x14ac:dyDescent="0.25">
      <c r="C12" s="42" t="str">
        <f>'LOCK-T'!$I$97</f>
        <v>LOCK-T 50 135</v>
      </c>
      <c r="D12" s="42">
        <f>VLOOKUP(C12,Data!$AA$4:$AF$24,6,FALSE)</f>
        <v>2</v>
      </c>
      <c r="E12" s="43">
        <f>VLOOKUP(VLOOKUP(C12,Data!$AA$4:$AD$24,4,FALSE),Data!$I$4:$S$15,5,FALSE)*D12</f>
        <v>6</v>
      </c>
      <c r="F12" s="45">
        <f>INDEX(Data!$I$35:$O$46,MATCH(VLOOKUP(C12,Data!$AA$4:$AD$24,4,FALSE),Data!$I$35:$I$46,0),MATCH(D12,Data!$I$35:$O$35,0))</f>
        <v>2.7</v>
      </c>
      <c r="G12" s="45">
        <f>INDEX(Data!$I$49:$O$60,MATCH(VLOOKUP(C12,Data!$AA$4:$AD$24,4,FALSE),Data!$I$49:$I$60,0),MATCH(D12,Data!$I$49:$O$49,0))</f>
        <v>13</v>
      </c>
      <c r="J12" t="s">
        <v>249</v>
      </c>
      <c r="K12" t="s">
        <v>248</v>
      </c>
      <c r="M12" s="53" t="s">
        <v>110</v>
      </c>
      <c r="AD12" s="45">
        <f>F12+nef</f>
        <v>23.599999999999998</v>
      </c>
      <c r="AE12" s="45">
        <f>klat+G12</f>
        <v>240</v>
      </c>
      <c r="AH12" t="s">
        <v>249</v>
      </c>
      <c r="AI12" t="s">
        <v>248</v>
      </c>
      <c r="AK12" s="53" t="s">
        <v>110</v>
      </c>
      <c r="AN12" s="258">
        <f>VLOOKUP(VLOOKUP(C12,Data!$AA$4:$AD$24,4,FALSE),Data!$I$4:$L$15,4,FALSE)</f>
        <v>924</v>
      </c>
    </row>
    <row r="13" spans="3:61" ht="14.25" x14ac:dyDescent="0.2">
      <c r="I13" t="s">
        <v>247</v>
      </c>
      <c r="J13">
        <f>0.082*Q6*L6^(-0.3)/((2.5*COS(RADIANS(M13))^2+SIN(RADIANS(M13))^2))</f>
        <v>6.7693373198801936</v>
      </c>
      <c r="K13">
        <f>0.082*Q6*(1-0.01*L6)/((2.5*COS(RADIANS(M13))^2+SIN(RADIANS(M13))^2))</f>
        <v>11.286479999999999</v>
      </c>
      <c r="M13" s="43">
        <f>ABS('LOCK-T'!H86)</f>
        <v>0</v>
      </c>
      <c r="AG13" t="s">
        <v>247</v>
      </c>
      <c r="AH13">
        <f>0.082*AJ8*AI8^(-0.3)/((2.5*COS(RADIANS(AK13))^2+SIN(RADIANS(AK13))^2))</f>
        <v>17.609424784823478</v>
      </c>
      <c r="AI13">
        <f>0.082*AJ8*(1-0.01*AI8)/((2.5*COS(RADIANS(AK13))^2+SIN(RADIANS(AK13))^2))</f>
        <v>29.360099999999999</v>
      </c>
      <c r="AK13" s="43">
        <v>90</v>
      </c>
    </row>
    <row r="14" spans="3:61" ht="29.25" thickBot="1" x14ac:dyDescent="0.25">
      <c r="D14" s="52" t="s">
        <v>92</v>
      </c>
      <c r="E14" s="51" t="s">
        <v>51</v>
      </c>
      <c r="F14" s="51" t="s">
        <v>93</v>
      </c>
    </row>
    <row r="15" spans="3:61" ht="14.25" x14ac:dyDescent="0.2">
      <c r="D15" s="43">
        <f>IF(OR(C12="Lock-T 80",C12="Lock-T 100",C12="Lock-T 120"),17.5,25)</f>
        <v>25</v>
      </c>
      <c r="E15" s="43">
        <f>D12</f>
        <v>2</v>
      </c>
      <c r="F15" s="43">
        <f>D15*E15</f>
        <v>50</v>
      </c>
      <c r="I15" t="s">
        <v>2</v>
      </c>
      <c r="J15">
        <f>0.082*Q6*L6^(-0.3)/((2.5*COS(RADIANS(M13))^2+SIN(RADIANS(M13))^2)*(1.5*COS(RADIANS(W6))^2+SIN(RADIANS(W6))^2))</f>
        <v>4.512891546586796</v>
      </c>
      <c r="K15">
        <f>0.082*Q6*(1-0.01*L6)/((2.5*COS(RADIANS(M13))^2+SIN(RADIANS(M13))^2)*(1.5*COS(RADIANS(W6))^2+SIN(RADIANS(W6))^2))</f>
        <v>7.5243199999999995</v>
      </c>
      <c r="AG15" t="s">
        <v>2</v>
      </c>
      <c r="AH15">
        <f>0.082*AJ8*AI8^(-0.3)/((2.5*COS(RADIANS(AK13))^2+SIN(RADIANS(AK13))^2)*(1.5*COS(RADIANS(AJ6))^2+SIN(RADIANS(AJ6))^2))</f>
        <v>11.739616523215652</v>
      </c>
      <c r="AI15">
        <f>0.082*AJ8*(1-0.01*AI8)/((2.5*COS(RADIANS(AK13))^2+SIN(RADIANS(AK13))^2)*(1.5*COS(RADIANS(AJ6))^2+SIN(RADIANS(AJ6))^2))</f>
        <v>19.573399999999999</v>
      </c>
    </row>
    <row r="17" spans="3:52" x14ac:dyDescent="0.2">
      <c r="I17" t="s">
        <v>6</v>
      </c>
      <c r="J17">
        <f>IF(M13=0,20*L6^(-0.5),0.082*Q6*L6^(-0.3)/((2.5*COS(RADIANS(M13))^2+SIN(RADIANS(M13))^2)))</f>
        <v>7.5592894601845444</v>
      </c>
      <c r="AG17" t="s">
        <v>6</v>
      </c>
      <c r="AH17" s="180">
        <f>IF(AK13=0,20*AI8^(-0.5),0.082*AJ8*AI8^(-0.3)/((2.5*COS(RADIANS(AK13))^2+SIN(RADIANS(AK13))^2)))</f>
        <v>17.609424784823478</v>
      </c>
    </row>
    <row r="18" spans="3:52" x14ac:dyDescent="0.2">
      <c r="AH18" s="180" t="s">
        <v>251</v>
      </c>
      <c r="AI18" s="180"/>
    </row>
    <row r="29" spans="3:52" ht="13.5" thickBot="1" x14ac:dyDescent="0.25"/>
    <row r="30" spans="3:52" ht="51.95" customHeight="1" x14ac:dyDescent="0.2">
      <c r="C30" s="437" t="s">
        <v>86</v>
      </c>
      <c r="D30" s="438"/>
      <c r="E30" s="438"/>
      <c r="F30" s="438"/>
      <c r="G30" s="438"/>
      <c r="H30" s="438"/>
      <c r="I30" s="440" t="s">
        <v>88</v>
      </c>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2" t="s">
        <v>87</v>
      </c>
      <c r="AH30" s="443"/>
      <c r="AI30" s="443"/>
      <c r="AJ30" s="443"/>
      <c r="AK30" s="443"/>
      <c r="AL30" s="443"/>
      <c r="AM30" s="443"/>
      <c r="AN30" s="443"/>
      <c r="AO30" s="443"/>
      <c r="AP30" s="443"/>
      <c r="AQ30" s="443"/>
      <c r="AR30" s="443"/>
      <c r="AS30" s="443"/>
      <c r="AT30" s="443"/>
      <c r="AU30" s="443"/>
      <c r="AV30" s="443"/>
      <c r="AW30" s="443"/>
      <c r="AX30" s="443"/>
      <c r="AY30" s="444"/>
      <c r="AZ30" s="49" t="s">
        <v>193</v>
      </c>
    </row>
    <row r="31" spans="3:52" ht="51.95" customHeight="1" thickBot="1" x14ac:dyDescent="0.25">
      <c r="C31" s="50" t="s">
        <v>90</v>
      </c>
      <c r="D31" s="51" t="s">
        <v>91</v>
      </c>
      <c r="E31" s="52" t="s">
        <v>92</v>
      </c>
      <c r="F31" s="51" t="s">
        <v>51</v>
      </c>
      <c r="G31" s="51" t="s">
        <v>93</v>
      </c>
      <c r="H31" s="51" t="s">
        <v>94</v>
      </c>
      <c r="I31" s="28" t="s">
        <v>95</v>
      </c>
      <c r="J31" s="28" t="s">
        <v>96</v>
      </c>
      <c r="K31" s="28" t="s">
        <v>97</v>
      </c>
      <c r="L31" s="28" t="s">
        <v>98</v>
      </c>
      <c r="M31" s="28" t="s">
        <v>99</v>
      </c>
      <c r="N31" s="28" t="s">
        <v>100</v>
      </c>
      <c r="O31" s="28" t="s">
        <v>101</v>
      </c>
      <c r="P31" s="28" t="s">
        <v>102</v>
      </c>
      <c r="Q31" s="28" t="s">
        <v>103</v>
      </c>
      <c r="R31" s="28" t="s">
        <v>110</v>
      </c>
      <c r="S31" s="28" t="s">
        <v>104</v>
      </c>
      <c r="T31" s="28" t="s">
        <v>111</v>
      </c>
      <c r="U31" s="28" t="s">
        <v>112</v>
      </c>
      <c r="V31" s="28" t="s">
        <v>113</v>
      </c>
      <c r="W31" s="28" t="s">
        <v>123</v>
      </c>
      <c r="X31" s="28" t="s">
        <v>114</v>
      </c>
      <c r="Y31" s="28" t="s">
        <v>115</v>
      </c>
      <c r="Z31" s="120" t="s">
        <v>105</v>
      </c>
      <c r="AA31" s="28" t="s">
        <v>106</v>
      </c>
      <c r="AB31" s="28" t="s">
        <v>107</v>
      </c>
      <c r="AC31" s="120" t="s">
        <v>117</v>
      </c>
      <c r="AD31" s="28" t="s">
        <v>173</v>
      </c>
      <c r="AE31" s="28" t="s">
        <v>174</v>
      </c>
      <c r="AF31" s="109" t="s">
        <v>187</v>
      </c>
      <c r="AG31" s="53" t="s">
        <v>95</v>
      </c>
      <c r="AH31" s="53" t="s">
        <v>96</v>
      </c>
      <c r="AI31" s="53" t="s">
        <v>97</v>
      </c>
      <c r="AJ31" s="53" t="s">
        <v>123</v>
      </c>
      <c r="AK31" s="53" t="s">
        <v>165</v>
      </c>
      <c r="AL31" s="53" t="s">
        <v>166</v>
      </c>
      <c r="AM31" s="53" t="s">
        <v>167</v>
      </c>
      <c r="AN31" s="53" t="s">
        <v>168</v>
      </c>
      <c r="AO31" s="53" t="s">
        <v>169</v>
      </c>
      <c r="AP31" s="53" t="s">
        <v>190</v>
      </c>
      <c r="AQ31" s="53" t="s">
        <v>171</v>
      </c>
      <c r="AR31" s="109" t="s">
        <v>188</v>
      </c>
      <c r="AS31" s="53" t="s">
        <v>185</v>
      </c>
      <c r="AT31" s="53" t="s">
        <v>178</v>
      </c>
      <c r="AU31" s="53" t="s">
        <v>191</v>
      </c>
      <c r="AV31" s="53" t="s">
        <v>19</v>
      </c>
      <c r="AW31" s="53" t="s">
        <v>192</v>
      </c>
      <c r="AX31" s="53" t="s">
        <v>186</v>
      </c>
      <c r="AY31" s="109" t="s">
        <v>189</v>
      </c>
      <c r="AZ31" s="54" t="s">
        <v>227</v>
      </c>
    </row>
    <row r="32" spans="3:52" ht="51.95" customHeight="1" thickBot="1" x14ac:dyDescent="0.25">
      <c r="C32" s="126" t="str">
        <f>'LOCK-T'!H97</f>
        <v>LOCK-T 100 290</v>
      </c>
      <c r="D32" s="127">
        <f>VLOOKUP(VLOOKUP(C32,Data!$AA$4:$AD$24,4,FALSE),Data!$I$4:$S$15,2,FALSE)</f>
        <v>290</v>
      </c>
      <c r="E32" s="127">
        <f>IF(OR(C32="Lock-T 80",C32="Lock-T 100",C32="Lock-T 120"),17.5,25)</f>
        <v>25</v>
      </c>
      <c r="F32" s="42">
        <f>VLOOKUP(C32,Data!$AA$4:$AF$24,6,FALSE)</f>
        <v>4</v>
      </c>
      <c r="G32" s="127">
        <f>E32*F32</f>
        <v>100</v>
      </c>
      <c r="H32" s="127">
        <f>VLOOKUP(C6,Data!$AA$4:$AH$24,8,FALSE)</f>
        <v>8</v>
      </c>
      <c r="I32" s="128" t="str">
        <f>'LOCK-T'!H71</f>
        <v>GL24h</v>
      </c>
      <c r="J32" s="128" t="str">
        <f>'LOCK-T'!H111</f>
        <v>LBS Ø 7 x 80</v>
      </c>
      <c r="K32" s="43">
        <f>VLOOKUP(VLOOKUP(C32,Data!$AA$4:$AD$24,4,FALSE),Data!$I$4:$S$15,5,FALSE)*F32</f>
        <v>36</v>
      </c>
      <c r="L32" s="127">
        <f>VLOOKUP(J32,Screws!$C$6:$J$34,3,FALSE)</f>
        <v>7</v>
      </c>
      <c r="M32" s="127">
        <f>VLOOKUP(J32,Screws!$C$6:$J$34,5,FALSE)</f>
        <v>80</v>
      </c>
      <c r="N32" s="127">
        <f>VLOOKUP(J32,Screws!$C$6:$J$34,6,FALSE)</f>
        <v>75</v>
      </c>
      <c r="O32" s="127">
        <f>VLOOKUP(J32,Screws!$C$6:$J$34,7,FALSE)</f>
        <v>14174</v>
      </c>
      <c r="P32" s="127">
        <f>VLOOKUP(J32,Screws!$C$6:$J$34,8,FALSE)</f>
        <v>19200</v>
      </c>
      <c r="Q32" s="127">
        <f>VLOOKUP(I32,Data!$B$4:$C$36,2,FALSE)</f>
        <v>385</v>
      </c>
      <c r="R32" s="127">
        <v>90</v>
      </c>
      <c r="S32" s="179">
        <f>IF('LOCK-T'!H72='LOCK-T'!AA54,IF(I32="LVL",K41,IF(Q32&gt;420,K39,K39)),IF(I32="LVL",K41,IF(I32="CLT",J43,IF(Q32&gt;420,K39,J39))))</f>
        <v>17.609424784823478</v>
      </c>
      <c r="T32" s="129">
        <f>IF(I32="LVL",0.5,0.3)</f>
        <v>0.3</v>
      </c>
      <c r="U32" s="129">
        <f>IF(I32="LVL",0.5,0.7)</f>
        <v>0.7</v>
      </c>
      <c r="V32" s="130">
        <f>IF(R32&lt;45,T32+U32*R32/45,1)</f>
        <v>1</v>
      </c>
      <c r="W32" s="127">
        <v>0</v>
      </c>
      <c r="X32" s="127">
        <f>IF(I32="LVL",1.5*COS(RADIANS(W32))^2+SIN(RADIANS(W32))^2,1)</f>
        <v>1</v>
      </c>
      <c r="Y32" s="127">
        <f>IF(I32="LVL",15,11.7)</f>
        <v>11.7</v>
      </c>
      <c r="Z32" s="131">
        <f>IF(I32="CLT",20*L32^(0.8)*MIN(N32,M32-H32)^(0.9),V32*Y32*L32*MIN(N32,(M32-H32))*(Q32/(IF(I32="LVL",500,350)))^(0.8)/X32)</f>
        <v>6364.0055001584997</v>
      </c>
      <c r="AA32" s="131">
        <f>0.4*S32*(M32-H32)*L32+MIN(0.4*S32*(M32-H32)*L32,MIN(P32,Z32)/4)</f>
        <v>5141.0614116600382</v>
      </c>
      <c r="AB32" s="131">
        <f>1.15*SQRT(2*O32*S32*L32)+MIN(1.15*SQRT(2*O32*S32*L32),MIN(P32,Z32)/4)</f>
        <v>3740.7152391283153</v>
      </c>
      <c r="AC32" s="131">
        <f>MIN(AA32,AB32)</f>
        <v>3740.7152391283153</v>
      </c>
      <c r="AD32" s="130">
        <f>INDEX(Data!$I$35:$O$46,MATCH(VLOOKUP(C32,Data!$AA$4:$AD$24,4,FALSE),Data!$I$35:$I$46,0),MATCH(F32,Data!$I$35:$O$35,0))</f>
        <v>20.9</v>
      </c>
      <c r="AE32" s="130">
        <f>INDEX(Data!$I$49:$O$60,MATCH(VLOOKUP(C32,Data!$AA$4:$AD$24,4,FALSE),Data!$I$49:$I$60,0),MATCH(F32,Data!$I$49:$O$49,0))</f>
        <v>227</v>
      </c>
      <c r="AF32" s="131">
        <f>(AD38*AC32)/SQRT(1+(((AD38*AC32)/(AE38*Z32))^2))</f>
        <v>88133.783976319464</v>
      </c>
      <c r="AG32" s="128" t="str">
        <f>'LOCK-T'!H85</f>
        <v>GL22h</v>
      </c>
      <c r="AH32" s="128" t="str">
        <f>'LOCK-T'!H124</f>
        <v>LBS Ø 7 x 80</v>
      </c>
      <c r="AI32" s="127">
        <f>VLOOKUP(VLOOKUP(C32,Data!$AA$4:$AD$24,4,FALSE),Data!$I$4:$S$15,5,FALSE)*F32</f>
        <v>36</v>
      </c>
      <c r="AJ32" s="128">
        <v>0</v>
      </c>
      <c r="AK32" s="130">
        <f>VLOOKUP(AG32,Data!$B$2:$F$36,3,FALSE)</f>
        <v>22</v>
      </c>
      <c r="AL32" s="130">
        <f>VLOOKUP(AG32,Data!$B$2:$F$36,4,FALSE)</f>
        <v>2.5</v>
      </c>
      <c r="AM32" s="130">
        <v>1</v>
      </c>
      <c r="AN32" s="131">
        <f>VLOOKUP(VLOOKUP(C32,Data!$AA$4:$AD$24,4,FALSE),Data!$I$4:$L$15,4,FALSE)</f>
        <v>1945</v>
      </c>
      <c r="AO32" s="259">
        <f>G32+F41</f>
        <v>150</v>
      </c>
      <c r="AP32" s="130">
        <f>'LOCK-T'!H83</f>
        <v>240</v>
      </c>
      <c r="AQ32" s="130">
        <f>VLOOKUP(AG32,Data!$B$2:$F$36,5,FALSE)</f>
        <v>1.2</v>
      </c>
      <c r="AR32" s="131">
        <f>2*AM32*AL32*AN32</f>
        <v>9725</v>
      </c>
      <c r="AS32" s="127">
        <f>VLOOKUP(AG32,Data!$B$2:$G$36,6,FALSE)</f>
        <v>3.5</v>
      </c>
      <c r="AT32" s="134">
        <f>(0.5*(AP32-AO32))/AP32</f>
        <v>0.1875</v>
      </c>
      <c r="AU32" s="133">
        <f>VLOOKUP(AG32,$BD$34:$BE$72,2,FALSE)</f>
        <v>6.5</v>
      </c>
      <c r="AV32" s="133">
        <v>20</v>
      </c>
      <c r="AW32" s="133">
        <v>0</v>
      </c>
      <c r="AX32" s="134">
        <f>MIN(AU32*(1+1.1*AW32^1.5/SQRT(AP32))/(SQRT(AP32)*(SQRT(AT32*(1-AT32))+0.8*(AV32/AP32)*SQRT(1/AT32-AT32^2))),1)</f>
        <v>0.77160875664988471</v>
      </c>
      <c r="AY32" s="131">
        <f>(AX32*AS32*D32*(AP32-AO32))/3</f>
        <v>23495.486639988987</v>
      </c>
      <c r="AZ32" s="132">
        <f>MIN(AF32,AR32,AY32)/1000</f>
        <v>9.7249999999999996</v>
      </c>
    </row>
    <row r="33" spans="3:62" ht="51.95" customHeight="1" thickBot="1" x14ac:dyDescent="0.25">
      <c r="BH33" s="138"/>
      <c r="BI33" s="139"/>
      <c r="BJ33" s="140"/>
    </row>
    <row r="34" spans="3:62" ht="18" customHeight="1" x14ac:dyDescent="0.2">
      <c r="BD34" s="445" t="s">
        <v>45</v>
      </c>
      <c r="BE34" s="447" t="s">
        <v>191</v>
      </c>
      <c r="BH34" s="138"/>
      <c r="BI34" s="139"/>
      <c r="BJ34" s="140"/>
    </row>
    <row r="35" spans="3:62" ht="13.5" thickBot="1" x14ac:dyDescent="0.25">
      <c r="T35" s="2"/>
      <c r="BD35" s="446"/>
      <c r="BE35" s="448"/>
      <c r="BH35" s="138"/>
      <c r="BI35" s="29"/>
      <c r="BJ35" s="140"/>
    </row>
    <row r="36" spans="3:62" x14ac:dyDescent="0.2">
      <c r="BD36" s="1" t="s">
        <v>55</v>
      </c>
      <c r="BE36" s="76">
        <v>6.5</v>
      </c>
      <c r="BH36" s="74"/>
      <c r="BI36" s="3"/>
      <c r="BJ36" s="140"/>
    </row>
    <row r="37" spans="3:62" ht="29.25" thickBot="1" x14ac:dyDescent="0.25">
      <c r="C37" s="50" t="s">
        <v>90</v>
      </c>
      <c r="D37" s="51" t="s">
        <v>51</v>
      </c>
      <c r="E37" s="53" t="s">
        <v>97</v>
      </c>
      <c r="F37" s="53" t="s">
        <v>173</v>
      </c>
      <c r="G37" s="53" t="s">
        <v>174</v>
      </c>
      <c r="H37" s="51"/>
      <c r="I37" s="441" t="s">
        <v>250</v>
      </c>
      <c r="J37" s="441"/>
      <c r="K37" s="441"/>
      <c r="L37" s="441"/>
      <c r="AD37" s="53" t="s">
        <v>388</v>
      </c>
      <c r="AE37" s="53" t="s">
        <v>389</v>
      </c>
      <c r="AP37" s="125"/>
      <c r="BD37" s="1" t="s">
        <v>57</v>
      </c>
      <c r="BE37" s="76">
        <v>6.5</v>
      </c>
      <c r="BH37" s="74"/>
      <c r="BI37" s="3"/>
      <c r="BJ37" s="75"/>
    </row>
    <row r="38" spans="3:62" ht="29.25" thickBot="1" x14ac:dyDescent="0.25">
      <c r="C38" s="42" t="str">
        <f>'LOCK-T'!$I$97</f>
        <v>LOCK-T 50 135</v>
      </c>
      <c r="D38" s="42">
        <f>VLOOKUP(C38,Data!$AA$4:$AF$24,6,FALSE)</f>
        <v>2</v>
      </c>
      <c r="E38" s="43">
        <f>VLOOKUP(VLOOKUP(C38,Data!$AA$4:$AD$24,4,FALSE),Data!$I$4:$S$15,5,FALSE)*D38</f>
        <v>6</v>
      </c>
      <c r="F38" s="45">
        <f>INDEX(Data!$I$35:$O$46,MATCH(VLOOKUP(C38,Data!$AA$4:$AD$24,4,FALSE),Data!$I$35:$I$46,0),MATCH(D38,Data!$I$35:$O$35,0))</f>
        <v>2.7</v>
      </c>
      <c r="G38" s="45">
        <f>INDEX(Data!$I$49:$O$60,MATCH(VLOOKUP(C38,Data!$AA$4:$AD$24,4,FALSE),Data!$I$49:$I$60,0),MATCH(D38,Data!$I$49:$O$49,0))</f>
        <v>13</v>
      </c>
      <c r="J38" t="s">
        <v>249</v>
      </c>
      <c r="K38" t="s">
        <v>248</v>
      </c>
      <c r="M38" s="53" t="s">
        <v>110</v>
      </c>
      <c r="AD38" s="45">
        <f>F38+AD32</f>
        <v>23.599999999999998</v>
      </c>
      <c r="AE38" s="45">
        <f>AE32+G38</f>
        <v>240</v>
      </c>
      <c r="BD38" s="1" t="s">
        <v>1</v>
      </c>
      <c r="BE38" s="76">
        <v>6.5</v>
      </c>
      <c r="BH38" s="74"/>
      <c r="BI38" s="3"/>
      <c r="BJ38" s="75"/>
    </row>
    <row r="39" spans="3:62" ht="14.25" x14ac:dyDescent="0.2">
      <c r="I39" t="s">
        <v>247</v>
      </c>
      <c r="J39">
        <f>0.082*$Q$32*$L$32^(-0.3)/((2.5*COS(RADIANS($M$39))^2+SIN(RADIANS($M$39))^2))</f>
        <v>17.609424784823478</v>
      </c>
      <c r="K39">
        <f>0.082*$Q$32*(1-0.01*$L$32)/((2.5*COS(RADIANS($M$39))^2+SIN(RADIANS($M$39))^2))</f>
        <v>29.360099999999999</v>
      </c>
      <c r="M39" s="43">
        <v>90</v>
      </c>
      <c r="BD39" s="1" t="s">
        <v>60</v>
      </c>
      <c r="BE39" s="76">
        <v>6.5</v>
      </c>
      <c r="BH39" s="74"/>
      <c r="BI39" s="137"/>
      <c r="BJ39" s="75"/>
    </row>
    <row r="40" spans="3:62" ht="29.25" thickBot="1" x14ac:dyDescent="0.25">
      <c r="D40" s="52" t="s">
        <v>92</v>
      </c>
      <c r="E40" s="51" t="s">
        <v>51</v>
      </c>
      <c r="F40" s="51" t="s">
        <v>93</v>
      </c>
      <c r="BD40" s="1" t="s">
        <v>62</v>
      </c>
      <c r="BE40" s="76">
        <v>6.5</v>
      </c>
    </row>
    <row r="41" spans="3:62" ht="14.25" x14ac:dyDescent="0.2">
      <c r="D41" s="43">
        <f>IF(OR(C38="Lock-T 80",C38="Lock-T 100",C38="Lock-T 120"),17.5,25)</f>
        <v>25</v>
      </c>
      <c r="E41" s="43">
        <f>D38</f>
        <v>2</v>
      </c>
      <c r="F41" s="43">
        <f>D41*E41</f>
        <v>50</v>
      </c>
      <c r="I41" t="s">
        <v>2</v>
      </c>
      <c r="J41">
        <f>0.082*$Q$32*$L$32^(-0.3)/((2.5*COS(RADIANS($M$39))^2+SIN(RADIANS($M$39))^2)*(1.5*COS(RADIANS($W$32))^2+SIN(RADIANS($W$32))^2))</f>
        <v>11.739616523215652</v>
      </c>
      <c r="K41">
        <f>0.082*$Q$32*(1-0.01*$L$32)/((2.5*COS(RADIANS($M$39))^2+SIN(RADIANS($M$39))^2)*(1.5*COS(RADIANS($W$32))^2+SIN(RADIANS($W$32))^2))</f>
        <v>19.573399999999999</v>
      </c>
      <c r="BD41" s="1" t="s">
        <v>64</v>
      </c>
      <c r="BE41" s="76">
        <v>6.5</v>
      </c>
    </row>
    <row r="42" spans="3:62" x14ac:dyDescent="0.2">
      <c r="BD42" s="1" t="s">
        <v>66</v>
      </c>
      <c r="BE42" s="76">
        <v>6.5</v>
      </c>
    </row>
    <row r="43" spans="3:62" x14ac:dyDescent="0.2">
      <c r="I43" t="s">
        <v>6</v>
      </c>
      <c r="J43" s="180">
        <f>IF(M39=0,20*L32^(-0.5),0.082*$Q$32*$L$32^(-0.3)/((2.5*COS(RADIANS($M$39))^2+SIN(RADIANS($M$39))^2)))</f>
        <v>17.609424784823478</v>
      </c>
      <c r="BD43" s="1"/>
      <c r="BE43" s="76"/>
    </row>
    <row r="44" spans="3:62" x14ac:dyDescent="0.2">
      <c r="BD44" s="1" t="s">
        <v>68</v>
      </c>
      <c r="BE44" s="76">
        <v>6.5</v>
      </c>
    </row>
    <row r="45" spans="3:62" x14ac:dyDescent="0.2">
      <c r="BD45" s="1" t="s">
        <v>70</v>
      </c>
      <c r="BE45" s="76">
        <v>6.5</v>
      </c>
    </row>
    <row r="46" spans="3:62" x14ac:dyDescent="0.2">
      <c r="BD46" s="1" t="s">
        <v>71</v>
      </c>
      <c r="BE46" s="76">
        <v>6.5</v>
      </c>
    </row>
    <row r="47" spans="3:62" x14ac:dyDescent="0.2">
      <c r="BD47" s="1" t="s">
        <v>72</v>
      </c>
      <c r="BE47" s="76">
        <v>6.5</v>
      </c>
    </row>
    <row r="48" spans="3:62" x14ac:dyDescent="0.2">
      <c r="BD48" s="1" t="s">
        <v>73</v>
      </c>
      <c r="BE48" s="76">
        <v>6.5</v>
      </c>
    </row>
    <row r="49" spans="56:57" x14ac:dyDescent="0.2">
      <c r="BD49" s="1" t="s">
        <v>74</v>
      </c>
      <c r="BE49" s="76">
        <v>6.5</v>
      </c>
    </row>
    <row r="50" spans="56:57" x14ac:dyDescent="0.2">
      <c r="BD50" s="1" t="s">
        <v>75</v>
      </c>
      <c r="BE50" s="76">
        <v>6.5</v>
      </c>
    </row>
    <row r="51" spans="56:57" x14ac:dyDescent="0.2">
      <c r="BD51" s="1"/>
      <c r="BE51" s="76"/>
    </row>
    <row r="52" spans="56:57" x14ac:dyDescent="0.2">
      <c r="BD52" s="1" t="s">
        <v>76</v>
      </c>
      <c r="BE52" s="76">
        <v>5</v>
      </c>
    </row>
    <row r="53" spans="56:57" x14ac:dyDescent="0.2">
      <c r="BD53" s="1" t="s">
        <v>77</v>
      </c>
      <c r="BE53" s="76">
        <v>5</v>
      </c>
    </row>
    <row r="54" spans="56:57" x14ac:dyDescent="0.2">
      <c r="BD54" s="1" t="s">
        <v>78</v>
      </c>
      <c r="BE54" s="76">
        <v>5</v>
      </c>
    </row>
    <row r="55" spans="56:57" x14ac:dyDescent="0.2">
      <c r="BD55" s="1" t="s">
        <v>79</v>
      </c>
      <c r="BE55" s="76">
        <v>5</v>
      </c>
    </row>
    <row r="56" spans="56:57" x14ac:dyDescent="0.2">
      <c r="BD56" s="1" t="s">
        <v>80</v>
      </c>
      <c r="BE56" s="76">
        <v>5</v>
      </c>
    </row>
    <row r="57" spans="56:57" x14ac:dyDescent="0.2">
      <c r="BD57" s="1" t="s">
        <v>0</v>
      </c>
      <c r="BE57" s="76">
        <v>5</v>
      </c>
    </row>
    <row r="58" spans="56:57" x14ac:dyDescent="0.2">
      <c r="BD58" s="1" t="s">
        <v>81</v>
      </c>
      <c r="BE58" s="76">
        <v>5</v>
      </c>
    </row>
    <row r="59" spans="56:57" x14ac:dyDescent="0.2">
      <c r="BD59" s="1" t="s">
        <v>82</v>
      </c>
      <c r="BE59" s="76">
        <v>5</v>
      </c>
    </row>
    <row r="60" spans="56:57" x14ac:dyDescent="0.2">
      <c r="BD60" s="1" t="s">
        <v>83</v>
      </c>
      <c r="BE60" s="76">
        <v>5</v>
      </c>
    </row>
    <row r="61" spans="56:57" x14ac:dyDescent="0.2">
      <c r="BD61" s="1" t="s">
        <v>84</v>
      </c>
      <c r="BE61" s="76">
        <v>5</v>
      </c>
    </row>
    <row r="62" spans="56:57" x14ac:dyDescent="0.2">
      <c r="BD62" s="1" t="s">
        <v>85</v>
      </c>
      <c r="BE62" s="76">
        <v>5</v>
      </c>
    </row>
    <row r="63" spans="56:57" x14ac:dyDescent="0.2">
      <c r="BD63" s="1" t="s">
        <v>5</v>
      </c>
      <c r="BE63" s="76">
        <v>5</v>
      </c>
    </row>
    <row r="64" spans="56:57" x14ac:dyDescent="0.2">
      <c r="BD64" s="1"/>
      <c r="BE64" s="76"/>
    </row>
    <row r="65" spans="56:57" x14ac:dyDescent="0.2">
      <c r="BD65" s="1" t="s">
        <v>2</v>
      </c>
      <c r="BE65" s="76">
        <v>4.5</v>
      </c>
    </row>
    <row r="66" spans="56:57" ht="13.5" thickBot="1" x14ac:dyDescent="0.25">
      <c r="BD66" s="34" t="s">
        <v>6</v>
      </c>
      <c r="BE66" s="76">
        <v>6.5</v>
      </c>
    </row>
    <row r="68" spans="56:57" x14ac:dyDescent="0.2">
      <c r="BD68" s="3" t="s">
        <v>492</v>
      </c>
      <c r="BE68" s="76">
        <v>5</v>
      </c>
    </row>
    <row r="69" spans="56:57" x14ac:dyDescent="0.2">
      <c r="BD69" s="3" t="s">
        <v>493</v>
      </c>
      <c r="BE69" s="76">
        <v>5</v>
      </c>
    </row>
    <row r="70" spans="56:57" x14ac:dyDescent="0.2">
      <c r="BD70" s="3" t="s">
        <v>494</v>
      </c>
      <c r="BE70" s="76">
        <v>5</v>
      </c>
    </row>
    <row r="71" spans="56:57" x14ac:dyDescent="0.2">
      <c r="BD71" s="3" t="s">
        <v>495</v>
      </c>
      <c r="BE71" s="76">
        <v>5</v>
      </c>
    </row>
    <row r="72" spans="56:57" x14ac:dyDescent="0.2">
      <c r="BD72" s="3" t="s">
        <v>496</v>
      </c>
      <c r="BE72" s="76">
        <v>5</v>
      </c>
    </row>
    <row r="80" spans="56:57" ht="13.5" thickBot="1" x14ac:dyDescent="0.25"/>
    <row r="81" spans="3:64" ht="51.95" customHeight="1" x14ac:dyDescent="0.2">
      <c r="C81" s="437" t="s">
        <v>86</v>
      </c>
      <c r="D81" s="438"/>
      <c r="E81" s="438"/>
      <c r="F81" s="438"/>
      <c r="G81" s="438"/>
      <c r="H81" s="438"/>
      <c r="I81" s="439" t="s">
        <v>87</v>
      </c>
      <c r="J81" s="439"/>
      <c r="K81" s="439"/>
      <c r="L81" s="439"/>
      <c r="M81" s="439"/>
      <c r="N81" s="439"/>
      <c r="O81" s="439"/>
      <c r="P81" s="439"/>
      <c r="Q81" s="439"/>
      <c r="R81" s="439"/>
      <c r="S81" s="439"/>
      <c r="T81" s="439"/>
      <c r="U81" s="439"/>
      <c r="V81" s="439"/>
      <c r="W81" s="439"/>
      <c r="X81" s="439"/>
      <c r="Y81" s="439"/>
      <c r="Z81" s="439"/>
      <c r="AA81" s="439"/>
      <c r="AB81" s="439"/>
      <c r="AC81" s="439"/>
      <c r="AD81" s="439"/>
      <c r="AE81" s="439"/>
      <c r="AF81" s="439"/>
      <c r="AG81" s="440" t="s">
        <v>88</v>
      </c>
      <c r="AH81" s="440"/>
      <c r="AI81" s="440"/>
      <c r="AJ81" s="440"/>
      <c r="AK81" s="440"/>
      <c r="AL81" s="440"/>
      <c r="AM81" s="440"/>
      <c r="AN81" s="440"/>
      <c r="AO81" s="440"/>
      <c r="AP81" s="440"/>
      <c r="AQ81" s="440"/>
      <c r="AR81" s="440"/>
      <c r="AS81" s="440"/>
      <c r="AT81" s="440"/>
      <c r="AU81" s="440"/>
      <c r="AV81" s="440"/>
      <c r="AW81" s="440"/>
      <c r="AX81" s="440"/>
      <c r="AY81" s="440"/>
      <c r="AZ81" s="440"/>
      <c r="BA81" s="440"/>
      <c r="BB81" s="440"/>
      <c r="BC81" s="440"/>
      <c r="BD81" s="440"/>
      <c r="BE81" s="103"/>
      <c r="BF81" s="49" t="s">
        <v>7</v>
      </c>
    </row>
    <row r="82" spans="3:64" ht="46.5" thickBot="1" x14ac:dyDescent="0.25">
      <c r="C82" s="50" t="s">
        <v>90</v>
      </c>
      <c r="D82" s="51" t="s">
        <v>91</v>
      </c>
      <c r="E82" s="52" t="s">
        <v>92</v>
      </c>
      <c r="F82" s="51" t="s">
        <v>51</v>
      </c>
      <c r="G82" s="51" t="s">
        <v>93</v>
      </c>
      <c r="H82" s="51" t="s">
        <v>94</v>
      </c>
      <c r="I82" s="53" t="s">
        <v>95</v>
      </c>
      <c r="J82" s="53" t="s">
        <v>96</v>
      </c>
      <c r="K82" s="53" t="s">
        <v>97</v>
      </c>
      <c r="L82" s="53" t="s">
        <v>98</v>
      </c>
      <c r="M82" s="53" t="s">
        <v>99</v>
      </c>
      <c r="N82" s="53" t="s">
        <v>100</v>
      </c>
      <c r="O82" s="53" t="s">
        <v>101</v>
      </c>
      <c r="P82" s="53" t="s">
        <v>102</v>
      </c>
      <c r="Q82" s="53" t="s">
        <v>103</v>
      </c>
      <c r="R82" s="53" t="s">
        <v>110</v>
      </c>
      <c r="S82" s="53" t="s">
        <v>104</v>
      </c>
      <c r="T82" s="53" t="s">
        <v>111</v>
      </c>
      <c r="U82" s="53" t="s">
        <v>112</v>
      </c>
      <c r="V82" s="53" t="s">
        <v>113</v>
      </c>
      <c r="W82" s="53" t="s">
        <v>123</v>
      </c>
      <c r="X82" s="53" t="s">
        <v>114</v>
      </c>
      <c r="Y82" s="53" t="s">
        <v>115</v>
      </c>
      <c r="Z82" s="120" t="s">
        <v>241</v>
      </c>
      <c r="AA82" s="53" t="s">
        <v>106</v>
      </c>
      <c r="AB82" s="53" t="s">
        <v>107</v>
      </c>
      <c r="AC82" s="120" t="s">
        <v>108</v>
      </c>
      <c r="AD82" s="53" t="s">
        <v>173</v>
      </c>
      <c r="AE82" s="53" t="s">
        <v>174</v>
      </c>
      <c r="AF82" s="109" t="s">
        <v>172</v>
      </c>
      <c r="AG82" s="28" t="s">
        <v>95</v>
      </c>
      <c r="AH82" s="28" t="s">
        <v>96</v>
      </c>
      <c r="AI82" s="141" t="s">
        <v>391</v>
      </c>
      <c r="AJ82" s="28" t="s">
        <v>123</v>
      </c>
      <c r="AK82" s="28" t="s">
        <v>98</v>
      </c>
      <c r="AL82" s="28" t="s">
        <v>99</v>
      </c>
      <c r="AM82" s="28" t="s">
        <v>100</v>
      </c>
      <c r="AN82" s="28" t="s">
        <v>101</v>
      </c>
      <c r="AO82" s="28" t="s">
        <v>102</v>
      </c>
      <c r="AP82" s="28" t="s">
        <v>103</v>
      </c>
      <c r="AQ82" s="28" t="s">
        <v>110</v>
      </c>
      <c r="AR82" s="28" t="s">
        <v>104</v>
      </c>
      <c r="AS82" s="28" t="s">
        <v>111</v>
      </c>
      <c r="AT82" s="28" t="s">
        <v>112</v>
      </c>
      <c r="AU82" s="28" t="s">
        <v>113</v>
      </c>
      <c r="AV82" s="28" t="s">
        <v>114</v>
      </c>
      <c r="AW82" s="28" t="s">
        <v>115</v>
      </c>
      <c r="AX82" s="28" t="s">
        <v>116</v>
      </c>
      <c r="AY82" s="172" t="s">
        <v>236</v>
      </c>
      <c r="AZ82" s="172" t="s">
        <v>232</v>
      </c>
      <c r="BA82" s="172" t="s">
        <v>237</v>
      </c>
      <c r="BB82" s="28" t="s">
        <v>117</v>
      </c>
      <c r="BC82" s="141" t="s">
        <v>194</v>
      </c>
      <c r="BD82" s="172" t="s">
        <v>233</v>
      </c>
      <c r="BE82" s="28"/>
      <c r="BF82" s="54" t="s">
        <v>121</v>
      </c>
    </row>
    <row r="83" spans="3:64" ht="51.95" customHeight="1" thickBot="1" x14ac:dyDescent="0.25">
      <c r="C83" s="42" t="str">
        <f>'LOCK-T'!H97</f>
        <v>LOCK-T 100 290</v>
      </c>
      <c r="D83" s="127">
        <f>VLOOKUP(VLOOKUP(C83,Data!$AA$4:$AD$24,4,FALSE),Data!$I$4:$S$15,2,FALSE)</f>
        <v>290</v>
      </c>
      <c r="E83" s="43">
        <f>IF(OR(C83="Lock-T 80",C83="Lock-T 100",C83="Lock-T 120"),17.5,25)</f>
        <v>25</v>
      </c>
      <c r="F83" s="42">
        <f>VLOOKUP(C83,Data!$AA$4:$AF$24,6,FALSE)</f>
        <v>4</v>
      </c>
      <c r="G83" s="43">
        <f>E83*F83</f>
        <v>100</v>
      </c>
      <c r="H83" s="43">
        <f>VLOOKUP(C6,Data!$AA$4:$AH$24,8,FALSE)</f>
        <v>8</v>
      </c>
      <c r="I83" s="42" t="str">
        <f>'LOCK-T'!H85</f>
        <v>GL22h</v>
      </c>
      <c r="J83" s="42" t="str">
        <f>'LOCK-T'!H124</f>
        <v>LBS Ø 7 x 80</v>
      </c>
      <c r="K83" s="43">
        <f>VLOOKUP(VLOOKUP(C83,Data!$AA$4:$AD$24,4,FALSE),Data!$I$4:$S$15,5,FALSE)*F83</f>
        <v>36</v>
      </c>
      <c r="L83" s="43">
        <f>VLOOKUP(J83,Screws!$C$6:$J$34,3,FALSE)</f>
        <v>7</v>
      </c>
      <c r="M83" s="43">
        <f>VLOOKUP(J83,Screws!$C$6:$J$34,5,FALSE)</f>
        <v>80</v>
      </c>
      <c r="N83" s="43">
        <f>VLOOKUP(J83,Screws!$C$6:$J$34,6,FALSE)</f>
        <v>75</v>
      </c>
      <c r="O83" s="43">
        <f>VLOOKUP(J83,Screws!$C$6:$J$34,7,FALSE)</f>
        <v>14174</v>
      </c>
      <c r="P83" s="43">
        <f>VLOOKUP(J83,Screws!$C$6:$J$34,8,FALSE)</f>
        <v>19200</v>
      </c>
      <c r="Q83" s="43">
        <f>VLOOKUP(I83,Data!$B$4:$C$36,2,FALSE)</f>
        <v>370</v>
      </c>
      <c r="R83" s="43">
        <f>IF(M90&lt;&gt;0,M90,90)</f>
        <v>90</v>
      </c>
      <c r="S83" s="179">
        <f>IF(I83="LVL",K92,IF(I83="CLT",J94,IF(Q83&gt;420,K90,J90)))</f>
        <v>6.7693373198801936</v>
      </c>
      <c r="T83" s="44">
        <f>IF(I83="LVL",0.5,0.3)</f>
        <v>0.3</v>
      </c>
      <c r="U83" s="44">
        <f>IF(I83="LVL",0.5,0.7)</f>
        <v>0.7</v>
      </c>
      <c r="V83" s="45">
        <f>IF(R83&lt;45,T83+U83*R83/45,1)</f>
        <v>1</v>
      </c>
      <c r="W83" s="43">
        <v>0</v>
      </c>
      <c r="X83" s="43">
        <f>IF(I83="LVL",1.5*COS(RADIANS(W83))^2+SIN(RADIANS(W83))^2,1)</f>
        <v>1</v>
      </c>
      <c r="Y83" s="43">
        <f>IF(I83="LVL",15,11.7)</f>
        <v>11.7</v>
      </c>
      <c r="Z83" s="46">
        <f>IF(I83="CLT",20*L83^(0.8)*MIN(N83,M83-H83)^(0.9),V83*Y83*L83*MIN(N83,(M83-H83))*(Q83/(IF(I83="LVL",500,350)))^(0.8)/X83)</f>
        <v>6164.8617526610669</v>
      </c>
      <c r="AA83" s="46">
        <f>0.4*S83*(M83-H83)*L83+MIN(0.4*S83*(M83-H83)*L83,IF(I83="CLT",1,IF(M90=0,5/6,1))*MIN(P83,Z83)/4)</f>
        <v>2649.0446021589028</v>
      </c>
      <c r="AB83" s="46">
        <f>1.15*SQRT(2*O83*S83*L83)+MIN(1.15*SQRT(2*O83*S83*L83),IF(I83="CLT",1,IF(M90=0,5/6,1))*MIN(P83,Z83)/4)</f>
        <v>2617.1958117017621</v>
      </c>
      <c r="AC83" s="46">
        <f>MIN(AA83,AB83)</f>
        <v>2617.1958117017621</v>
      </c>
      <c r="AD83" s="45">
        <f>INDEX(Data!$I$64:$O$75,MATCH(VLOOKUP(C83,Data!$AA$4:$AD$24,4,FALSE),Data!$I$64:$I$75,0),MATCH(F83,Data!$I$64:$O$64,0))</f>
        <v>8.8000000000000007</v>
      </c>
      <c r="AE83" s="45">
        <f>INDEX(Data!$I$79:$O$90,MATCH(VLOOKUP(C83,Data!$AA$4:$AD$24,4,FALSE),Data!$I$79:$I$90,0),MATCH(F83,Data!$I$79:$O$79,0))</f>
        <v>53</v>
      </c>
      <c r="AF83" s="46"/>
      <c r="AG83" s="42" t="str">
        <f>'LOCK-T'!H71</f>
        <v>GL24h</v>
      </c>
      <c r="AH83" s="42" t="str">
        <f>'LOCK-T'!H141</f>
        <v>LBS Ø 5 x 60</v>
      </c>
      <c r="AI83" s="127">
        <f>VLOOKUP(C83,Data!AA32:AC50,3,FALSE)</f>
        <v>2</v>
      </c>
      <c r="AJ83" s="42">
        <v>0</v>
      </c>
      <c r="AK83" s="43">
        <f>VLOOKUP(AH83,Screws!$C$6:$J$34,3,FALSE)</f>
        <v>5</v>
      </c>
      <c r="AL83" s="43">
        <f>VLOOKUP(AH83,Screws!$C$6:$J$34,5,FALSE)</f>
        <v>60</v>
      </c>
      <c r="AM83" s="43">
        <f>VLOOKUP(AH83,Screws!$C$6:$J$34,6,FALSE)</f>
        <v>56</v>
      </c>
      <c r="AN83" s="43">
        <f>VLOOKUP(AH83,Screws!$C$6:$J$34,7,FALSE)</f>
        <v>5417.2</v>
      </c>
      <c r="AO83" s="43">
        <f>VLOOKUP(AH83,Screws!$C$6:$J$34,8,FALSE)</f>
        <v>7900</v>
      </c>
      <c r="AP83" s="43">
        <f>VLOOKUP(AG83,Data!$B$4:$C$36,2,FALSE)</f>
        <v>385</v>
      </c>
      <c r="AQ83" s="43">
        <f>IF('LOCK-T'!H72='LOCK-T'!AA53,90,45)</f>
        <v>90</v>
      </c>
      <c r="AR83" s="179">
        <f>IF('LOCK-T'!H72='LOCK-T'!AA54,IF(AG83="LVL",AI92,IF(AP83&gt;420,AI90,AI90)),IF(AG83="LVL",AI92,IF(AG83="CLT",AH94,IF(AP83&gt;420,AI90,AH90))))</f>
        <v>19.479759046070704</v>
      </c>
      <c r="AS83" s="44">
        <f>IF(AG83="LVL",0.5,0.3)</f>
        <v>0.3</v>
      </c>
      <c r="AT83" s="44">
        <f>IF(AG83="LVL",0.5,0.7)</f>
        <v>0.7</v>
      </c>
      <c r="AU83" s="45">
        <f>IF(AQ83&lt;45,AS83+AT83*AQ83/45,1)</f>
        <v>1</v>
      </c>
      <c r="AV83" s="43">
        <f>IF(AG83="LVL",1.5*COS(RADIANS(AJ83))^2+SIN(RADIANS(AJ83))^2,1)</f>
        <v>1</v>
      </c>
      <c r="AW83" s="43">
        <f>IF(AG83="LVL",15,11.7)</f>
        <v>11.7</v>
      </c>
      <c r="AX83" s="46">
        <f>MIN(AO83,AU83*AW83*AK83*MIN(AM83,AL83-BD83)*(AP83/(IF(AG83="LVL",500,350)))^0.8/AV83)</f>
        <v>3030.4788095992858</v>
      </c>
      <c r="AY83" s="46">
        <f>AR83*(AL83-BD83)*AK83</f>
        <v>4675.1421710569693</v>
      </c>
      <c r="AZ83" s="46">
        <f>AR83*(AL83-BD83)*AK83*(SQRT(2+(4*AN83)/(AR83*AK83*(AL83-BD83)^2))-1)+MIN(AR83*(AL83-BD83)*AK83*(SQRT(2+(4*AN83)/(AR83*AK83*(AL83-BD83)^2))-1),MIN(AO83,AX83)/4)</f>
        <v>2851.851479742958</v>
      </c>
      <c r="BA83" s="46">
        <f>2.3*SQRT(AN83*AR83*AK83)+MIN(2.3*SQRT(AN83*AR83*AK83),MIN(AO83,AX83)/4)</f>
        <v>2428.2950467233968</v>
      </c>
      <c r="BB83" s="46">
        <f>MIN(AY83,AZ83,BA83)</f>
        <v>2428.2950467233968</v>
      </c>
      <c r="BC83" s="46">
        <f>AX86*BB83</f>
        <v>6178.0941232008699</v>
      </c>
      <c r="BD83" s="45">
        <f>VLOOKUP(VLOOKUP(C83,Data!$AA$4:$AD$24,4,FALSE),Data!$Q$85:$R$96,2,FALSE)</f>
        <v>12</v>
      </c>
      <c r="BE83" s="46"/>
      <c r="BF83" s="47">
        <f>IF(AH83='LOCK-T'!AB165,,MIN(AF85,BC83)/1000)</f>
        <v>6.1780941232008697</v>
      </c>
    </row>
    <row r="84" spans="3:64" ht="51.95" customHeight="1" thickBot="1" x14ac:dyDescent="0.25">
      <c r="Z84" s="120" t="s">
        <v>242</v>
      </c>
      <c r="AF84" s="109" t="s">
        <v>172</v>
      </c>
      <c r="AI84">
        <f>VLOOKUP(VLOOKUP(C83,Data!$AA$4:$AD$24,4,FALSE),Data!$I$4:$U$15,6,FALSE)</f>
        <v>1</v>
      </c>
      <c r="AQ84" t="s">
        <v>234</v>
      </c>
      <c r="BC84">
        <f>(AI83^0.85)*BB83</f>
        <v>4377.0040684300975</v>
      </c>
      <c r="BK84" t="s">
        <v>386</v>
      </c>
      <c r="BL84" t="s">
        <v>387</v>
      </c>
    </row>
    <row r="85" spans="3:64" ht="29.25" thickBot="1" x14ac:dyDescent="0.25">
      <c r="H85" s="73">
        <f>H83</f>
        <v>8</v>
      </c>
      <c r="I85" s="76" t="str">
        <f t="shared" ref="I85:Y85" si="1">I83</f>
        <v>GL22h</v>
      </c>
      <c r="J85" s="76" t="str">
        <f t="shared" si="1"/>
        <v>LBS Ø 7 x 80</v>
      </c>
      <c r="K85" s="73">
        <f t="shared" si="1"/>
        <v>36</v>
      </c>
      <c r="L85" s="73">
        <f t="shared" si="1"/>
        <v>7</v>
      </c>
      <c r="M85" s="73">
        <f t="shared" si="1"/>
        <v>80</v>
      </c>
      <c r="N85" s="73">
        <f t="shared" si="1"/>
        <v>75</v>
      </c>
      <c r="O85" s="76">
        <f t="shared" si="1"/>
        <v>14174</v>
      </c>
      <c r="P85" s="73">
        <f t="shared" si="1"/>
        <v>19200</v>
      </c>
      <c r="Q85" s="73">
        <f t="shared" si="1"/>
        <v>370</v>
      </c>
      <c r="R85" s="73">
        <f>M90</f>
        <v>0</v>
      </c>
      <c r="S85" s="160">
        <f t="shared" si="1"/>
        <v>6.7693373198801936</v>
      </c>
      <c r="T85" s="160">
        <f t="shared" si="1"/>
        <v>0.3</v>
      </c>
      <c r="U85" s="160">
        <f t="shared" si="1"/>
        <v>0.7</v>
      </c>
      <c r="V85" s="45">
        <f>IF(R85&lt;45,T85+U85*R85/45,1)</f>
        <v>0.3</v>
      </c>
      <c r="W85" s="73">
        <f t="shared" si="1"/>
        <v>0</v>
      </c>
      <c r="X85" s="73">
        <f t="shared" si="1"/>
        <v>1</v>
      </c>
      <c r="Y85" s="76">
        <f t="shared" si="1"/>
        <v>11.7</v>
      </c>
      <c r="Z85" s="46">
        <f>IF(I85="CLT",20*L85^(0.8)*MIN(N85,M85-H85)^(0.9),V85*Y85*L85*MIN(N85,(M85-H85))*(Q85/(IF(I85="LVL",500,350)))^(0.8)/X85)</f>
        <v>1849.4585257983201</v>
      </c>
      <c r="AA85" s="46"/>
      <c r="AB85" s="46"/>
      <c r="AC85" s="46"/>
      <c r="AD85" s="45"/>
      <c r="AE85" s="45"/>
      <c r="AF85" s="46">
        <f>(AD89*AC83)/SQRT(1+(((AD89*AC83)/(AE89*Z85))^2))</f>
        <v>25878.545875302574</v>
      </c>
      <c r="AQ85" t="s">
        <v>235</v>
      </c>
      <c r="AX85" s="141" t="s">
        <v>393</v>
      </c>
      <c r="BJ85" t="s">
        <v>385</v>
      </c>
      <c r="BK85">
        <v>1</v>
      </c>
      <c r="BL85">
        <v>1</v>
      </c>
    </row>
    <row r="86" spans="3:64" ht="15" thickBot="1" x14ac:dyDescent="0.25">
      <c r="AX86" s="127">
        <f>(AI83+D89)^0.85</f>
        <v>2.544210651641051</v>
      </c>
      <c r="BJ86" t="s">
        <v>382</v>
      </c>
      <c r="BK86">
        <v>0.85</v>
      </c>
      <c r="BL86">
        <v>0.85</v>
      </c>
    </row>
    <row r="87" spans="3:64" x14ac:dyDescent="0.2">
      <c r="BJ87" t="s">
        <v>383</v>
      </c>
      <c r="BK87">
        <v>0.7</v>
      </c>
      <c r="BL87">
        <v>0.7</v>
      </c>
    </row>
    <row r="88" spans="3:64" ht="43.5" thickBot="1" x14ac:dyDescent="0.25">
      <c r="C88" s="50" t="s">
        <v>90</v>
      </c>
      <c r="D88" s="141" t="s">
        <v>392</v>
      </c>
      <c r="E88" s="53" t="s">
        <v>173</v>
      </c>
      <c r="F88" s="53" t="s">
        <v>174</v>
      </c>
      <c r="I88" s="441" t="s">
        <v>250</v>
      </c>
      <c r="J88" s="441"/>
      <c r="K88" s="441"/>
      <c r="L88" s="441"/>
      <c r="AD88" s="53" t="s">
        <v>388</v>
      </c>
      <c r="AE88" s="53" t="s">
        <v>389</v>
      </c>
      <c r="AG88" s="441" t="s">
        <v>250</v>
      </c>
      <c r="AH88" s="441"/>
      <c r="AI88" s="441"/>
      <c r="AJ88" s="441"/>
      <c r="AL88" s="181"/>
      <c r="AM88" s="181"/>
      <c r="AN88" s="181"/>
      <c r="AO88" s="181"/>
      <c r="AP88" s="181"/>
      <c r="AQ88" s="181"/>
      <c r="AR88" s="181"/>
      <c r="AS88" s="181"/>
      <c r="AT88" s="181"/>
      <c r="AU88" s="181"/>
      <c r="AV88" s="181"/>
      <c r="AW88" s="181"/>
      <c r="AX88" s="181"/>
      <c r="AY88" s="181"/>
      <c r="AZ88" s="181"/>
      <c r="BA88" s="181"/>
      <c r="BB88" s="181"/>
      <c r="BC88" s="181"/>
      <c r="BD88" s="181"/>
      <c r="BE88" s="142"/>
      <c r="BF88" s="142"/>
      <c r="BJ88" t="s">
        <v>384</v>
      </c>
      <c r="BK88" s="74" t="s">
        <v>4</v>
      </c>
      <c r="BL88">
        <v>0.5</v>
      </c>
    </row>
    <row r="89" spans="3:64" ht="29.25" thickBot="1" x14ac:dyDescent="0.25">
      <c r="C89" s="42" t="str">
        <f>'LOCK-T'!$I$97</f>
        <v>LOCK-T 50 135</v>
      </c>
      <c r="D89" s="127">
        <f>VLOOKUP(C89,Data!AA32:AC50,3,FALSE)</f>
        <v>1</v>
      </c>
      <c r="E89">
        <f>INDEX(Data!$I$64:$O$75,MATCH(VLOOKUP(C89,Data!$AA$4:$AD$24,4,FALSE),Data!$I$64:$I$75,0),MATCH(D91,Data!$I$64:$O$64,0))</f>
        <v>1.4</v>
      </c>
      <c r="F89">
        <f>INDEX(Data!$I$79:$O$90,MATCH(VLOOKUP(C89,Data!$AA$4:$AD$24,4,FALSE),Data!$I$79:$I$90,0),MATCH(D91,Data!$I$79:$O$79,0))</f>
        <v>4</v>
      </c>
      <c r="J89" t="s">
        <v>249</v>
      </c>
      <c r="K89" t="s">
        <v>248</v>
      </c>
      <c r="M89" s="53" t="s">
        <v>110</v>
      </c>
      <c r="AD89" s="45">
        <f>AD83+E89</f>
        <v>10.200000000000001</v>
      </c>
      <c r="AE89" s="45">
        <f>AE83+F89</f>
        <v>57</v>
      </c>
      <c r="AH89" t="s">
        <v>249</v>
      </c>
      <c r="AI89" t="s">
        <v>248</v>
      </c>
      <c r="AK89" s="53" t="s">
        <v>110</v>
      </c>
      <c r="AL89" s="143"/>
      <c r="AM89" s="143"/>
      <c r="AN89" s="143"/>
      <c r="AO89" s="143"/>
      <c r="AP89" s="143"/>
      <c r="AQ89" s="143"/>
      <c r="AR89" s="143"/>
      <c r="AS89" s="143"/>
      <c r="AT89" s="143"/>
      <c r="AU89" s="143"/>
      <c r="AV89" s="143"/>
      <c r="AW89" s="143"/>
      <c r="AX89" s="143"/>
      <c r="AY89" s="143"/>
      <c r="AZ89" s="143"/>
      <c r="BA89" s="143"/>
      <c r="BB89" s="143"/>
      <c r="BC89" s="143"/>
      <c r="BD89" s="143"/>
      <c r="BE89" s="143"/>
      <c r="BF89" s="143"/>
    </row>
    <row r="90" spans="3:64" ht="29.25" thickBot="1" x14ac:dyDescent="0.25">
      <c r="D90" s="51" t="s">
        <v>51</v>
      </c>
      <c r="I90" t="s">
        <v>247</v>
      </c>
      <c r="J90">
        <f>0.082*Q83*L83^(-0.3)/((2.5*COS(RADIANS(M90))^2+SIN(RADIANS(M90))^2))</f>
        <v>6.7693373198801936</v>
      </c>
      <c r="K90">
        <f>0.082*Q83*(1-0.01*L83)/((2.5*COS(RADIANS(M90))^2+SIN(RADIANS(M90))^2))</f>
        <v>11.286479999999999</v>
      </c>
      <c r="M90" s="43">
        <f>ABS('LOCK-T'!H86)</f>
        <v>0</v>
      </c>
      <c r="AG90" t="s">
        <v>247</v>
      </c>
      <c r="AH90">
        <f>0.082*AP83*AK83^(-0.3)/((2.5*COS(RADIANS(AK90))^2+SIN(RADIANS(AK90))^2))</f>
        <v>19.479759046070704</v>
      </c>
      <c r="AI90">
        <f>0.082*AP83*(1-0.01*AK83)/((2.5*COS(RADIANS(AK90))^2+SIN(RADIANS(AK90))^2))</f>
        <v>29.991499999999998</v>
      </c>
      <c r="AK90" s="43">
        <f>AQ83</f>
        <v>90</v>
      </c>
      <c r="AL90" s="100"/>
      <c r="AM90" s="100"/>
      <c r="AN90" s="100"/>
      <c r="AO90" s="100"/>
      <c r="AP90" s="100"/>
      <c r="AQ90" s="100"/>
      <c r="AR90" s="144"/>
      <c r="AS90" s="144"/>
      <c r="AT90" s="144"/>
      <c r="AU90" s="145"/>
      <c r="AV90" s="100"/>
      <c r="AW90" s="100"/>
      <c r="AX90" s="146"/>
      <c r="AY90" s="146"/>
      <c r="AZ90" s="146"/>
      <c r="BA90" s="146"/>
      <c r="BB90" s="146"/>
      <c r="BC90" s="144"/>
      <c r="BD90" s="146"/>
      <c r="BE90" s="146"/>
      <c r="BF90" s="137"/>
    </row>
    <row r="91" spans="3:64" ht="14.25" x14ac:dyDescent="0.2">
      <c r="D91" s="42">
        <f>D38</f>
        <v>2</v>
      </c>
    </row>
    <row r="92" spans="3:64" x14ac:dyDescent="0.2">
      <c r="I92" t="s">
        <v>2</v>
      </c>
      <c r="J92">
        <f>0.082*Q83*L83^(-0.3)/((2.5*COS(RADIANS(M90))^2+SIN(RADIANS(M90))^2)*(1.5*COS(RADIANS(W83))^2+SIN(RADIANS(W83))^2))</f>
        <v>4.512891546586796</v>
      </c>
      <c r="K92">
        <f>0.082*Q83*(1-0.01*L83)/((2.5*COS(RADIANS(M90))^2+SIN(RADIANS(M90))^2)*(1.5*COS(RADIANS(W83))^2+SIN(RADIANS(W83))^2))</f>
        <v>7.5243199999999995</v>
      </c>
      <c r="AG92" t="s">
        <v>2</v>
      </c>
      <c r="AH92">
        <f>0.082*AP83*AK83^(-0.3)/((2.5*COS(RADIANS(AK90))^2+SIN(RADIANS(AK90))^2)*(1.5*COS(RADIANS(AJ83))^2+SIN(RADIANS(AJ83))^2))</f>
        <v>12.986506030713803</v>
      </c>
      <c r="AI92">
        <f>0.082*AP83*(1-0.01*AK83)/((2.5*COS(RADIANS(AK90))^2+SIN(RADIANS(AK90))^2)*(1.5*COS(RADIANS(AJ83))^2+SIN(RADIANS(AJ83))^2))</f>
        <v>19.994333333333334</v>
      </c>
    </row>
    <row r="94" spans="3:64" x14ac:dyDescent="0.2">
      <c r="I94" t="s">
        <v>6</v>
      </c>
      <c r="J94">
        <f>IF(M90=0,20*L83^(-0.5),0.082*Q83*L83^(-0.3)/((2.5*COS(RADIANS(M90))^2+SIN(RADIANS(M90))^2)))</f>
        <v>7.5592894601845444</v>
      </c>
      <c r="AG94" t="s">
        <v>6</v>
      </c>
      <c r="AH94">
        <f>IF(AK90=0,20*AK83^(-0.5),0.082*AP83*AK83^(-0.3)/((2.5*COS(RADIANS(AK90))^2+SIN(RADIANS(AK90))^2)))</f>
        <v>19.479759046070704</v>
      </c>
    </row>
    <row r="104" spans="3:59" ht="13.5" thickBot="1" x14ac:dyDescent="0.25"/>
    <row r="105" spans="3:59" ht="45" customHeight="1" x14ac:dyDescent="0.2">
      <c r="C105" s="437" t="s">
        <v>86</v>
      </c>
      <c r="D105" s="438"/>
      <c r="E105" s="438"/>
      <c r="F105" s="438"/>
      <c r="G105" s="438"/>
      <c r="H105" s="438"/>
      <c r="I105" s="451" t="s">
        <v>87</v>
      </c>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3"/>
      <c r="AG105" s="440" t="s">
        <v>88</v>
      </c>
      <c r="AH105" s="440"/>
      <c r="AI105" s="440"/>
      <c r="AJ105" s="440"/>
      <c r="AK105" s="440"/>
      <c r="AL105" s="440"/>
      <c r="AM105" s="440"/>
      <c r="AN105" s="440"/>
      <c r="AO105" s="440"/>
      <c r="AP105" s="440"/>
      <c r="AQ105" s="440"/>
      <c r="AR105" s="440"/>
      <c r="AS105" s="440"/>
      <c r="AT105" s="440"/>
      <c r="AU105" s="440"/>
      <c r="AV105" s="440"/>
      <c r="AW105" s="440"/>
      <c r="AX105" s="440"/>
      <c r="AY105" s="440"/>
      <c r="AZ105" s="440"/>
      <c r="BA105" s="440"/>
      <c r="BB105" s="440"/>
      <c r="BC105" s="440"/>
      <c r="BD105" s="440"/>
      <c r="BE105" s="449" t="s">
        <v>211</v>
      </c>
      <c r="BF105" s="450"/>
      <c r="BG105" s="49" t="s">
        <v>7</v>
      </c>
    </row>
    <row r="106" spans="3:59" ht="46.5" thickBot="1" x14ac:dyDescent="0.25">
      <c r="C106" s="50" t="s">
        <v>90</v>
      </c>
      <c r="D106" s="51" t="s">
        <v>91</v>
      </c>
      <c r="E106" s="52" t="s">
        <v>92</v>
      </c>
      <c r="F106" s="51" t="s">
        <v>51</v>
      </c>
      <c r="G106" s="51" t="s">
        <v>93</v>
      </c>
      <c r="H106" s="51" t="s">
        <v>94</v>
      </c>
      <c r="I106" s="53" t="s">
        <v>95</v>
      </c>
      <c r="J106" s="53" t="s">
        <v>96</v>
      </c>
      <c r="K106" s="53" t="s">
        <v>97</v>
      </c>
      <c r="L106" s="53" t="s">
        <v>98</v>
      </c>
      <c r="M106" s="53" t="s">
        <v>99</v>
      </c>
      <c r="N106" s="53" t="s">
        <v>100</v>
      </c>
      <c r="O106" s="53" t="s">
        <v>196</v>
      </c>
      <c r="P106" s="53" t="s">
        <v>197</v>
      </c>
      <c r="Q106" s="53" t="s">
        <v>198</v>
      </c>
      <c r="R106" s="53" t="s">
        <v>110</v>
      </c>
      <c r="S106" s="53" t="s">
        <v>199</v>
      </c>
      <c r="T106" s="53" t="s">
        <v>111</v>
      </c>
      <c r="U106" s="53" t="s">
        <v>112</v>
      </c>
      <c r="V106" s="53" t="s">
        <v>200</v>
      </c>
      <c r="W106" s="53" t="s">
        <v>123</v>
      </c>
      <c r="X106" s="53" t="s">
        <v>201</v>
      </c>
      <c r="Y106" s="53" t="s">
        <v>202</v>
      </c>
      <c r="Z106" s="120" t="s">
        <v>241</v>
      </c>
      <c r="AA106" s="53" t="s">
        <v>203</v>
      </c>
      <c r="AB106" s="53" t="s">
        <v>204</v>
      </c>
      <c r="AC106" s="53" t="s">
        <v>205</v>
      </c>
      <c r="AD106" s="53" t="s">
        <v>173</v>
      </c>
      <c r="AE106" s="53" t="s">
        <v>174</v>
      </c>
      <c r="AF106" s="141" t="s">
        <v>206</v>
      </c>
      <c r="AG106" s="28" t="s">
        <v>95</v>
      </c>
      <c r="AH106" s="28" t="s">
        <v>96</v>
      </c>
      <c r="AI106" s="28" t="s">
        <v>97</v>
      </c>
      <c r="AJ106" s="28" t="s">
        <v>123</v>
      </c>
      <c r="AK106" s="28" t="s">
        <v>98</v>
      </c>
      <c r="AL106" s="28" t="s">
        <v>99</v>
      </c>
      <c r="AM106" s="28" t="s">
        <v>100</v>
      </c>
      <c r="AN106" s="28" t="s">
        <v>196</v>
      </c>
      <c r="AO106" s="28" t="s">
        <v>197</v>
      </c>
      <c r="AP106" s="28" t="s">
        <v>198</v>
      </c>
      <c r="AQ106" s="28" t="s">
        <v>110</v>
      </c>
      <c r="AR106" s="28" t="s">
        <v>199</v>
      </c>
      <c r="AS106" s="28" t="s">
        <v>111</v>
      </c>
      <c r="AT106" s="28" t="s">
        <v>112</v>
      </c>
      <c r="AU106" s="28" t="s">
        <v>200</v>
      </c>
      <c r="AV106" s="28" t="s">
        <v>201</v>
      </c>
      <c r="AW106" s="28" t="s">
        <v>202</v>
      </c>
      <c r="AX106" s="28" t="s">
        <v>207</v>
      </c>
      <c r="AY106" s="28" t="s">
        <v>203</v>
      </c>
      <c r="AZ106" s="28" t="s">
        <v>204</v>
      </c>
      <c r="BA106" s="28" t="s">
        <v>208</v>
      </c>
      <c r="BB106" s="28" t="s">
        <v>173</v>
      </c>
      <c r="BC106" s="28" t="s">
        <v>174</v>
      </c>
      <c r="BD106" s="141" t="s">
        <v>209</v>
      </c>
      <c r="BE106" s="51" t="s">
        <v>214</v>
      </c>
      <c r="BF106" s="51" t="s">
        <v>212</v>
      </c>
      <c r="BG106" s="54" t="s">
        <v>210</v>
      </c>
    </row>
    <row r="107" spans="3:59" ht="51.95" customHeight="1" thickBot="1" x14ac:dyDescent="0.25">
      <c r="C107" s="42" t="str">
        <f>'LOCK-T'!H97</f>
        <v>LOCK-T 100 290</v>
      </c>
      <c r="D107" s="127">
        <f>VLOOKUP(VLOOKUP(C107,Data!$AA$4:$AD$24,4,FALSE),Data!$I$4:$S$15,2,FALSE)</f>
        <v>290</v>
      </c>
      <c r="E107" s="43">
        <f>IF(OR(C107="Lock-T 80",C107="Lock-T 100",C107="Lock-T 120"),17.5,25)</f>
        <v>25</v>
      </c>
      <c r="F107" s="42">
        <f>VLOOKUP(C107,Data!$AA$4:$AF$24,6,FALSE)</f>
        <v>4</v>
      </c>
      <c r="G107" s="43">
        <f>E107*F107</f>
        <v>100</v>
      </c>
      <c r="H107" s="43">
        <f>VLOOKUP(C6,Data!$AA$4:$AH$24,8,FALSE)</f>
        <v>8</v>
      </c>
      <c r="I107" s="42" t="str">
        <f>'LOCK-T'!H85</f>
        <v>GL22h</v>
      </c>
      <c r="J107" s="42" t="str">
        <f>'LOCK-T'!H124</f>
        <v>LBS Ø 7 x 80</v>
      </c>
      <c r="K107" s="43">
        <f>VLOOKUP(VLOOKUP(C107,Data!$AA$4:$AD$24,4,FALSE),Data!$I$4:$S$15,5,FALSE)*F107</f>
        <v>36</v>
      </c>
      <c r="L107" s="43">
        <f>VLOOKUP(J107,Screws!$C$6:$J$34,3,FALSE)</f>
        <v>7</v>
      </c>
      <c r="M107" s="43">
        <f>VLOOKUP(J107,Screws!$C$6:$J$34,5,FALSE)</f>
        <v>80</v>
      </c>
      <c r="N107" s="43">
        <f>VLOOKUP(J107,Screws!$C$6:$J$34,6,FALSE)</f>
        <v>75</v>
      </c>
      <c r="O107" s="43">
        <f>VLOOKUP(J107,Screws!$C$6:$J$34,7,FALSE)</f>
        <v>14174</v>
      </c>
      <c r="P107" s="43">
        <f>VLOOKUP(J107,Screws!$C$6:$J$34,8,FALSE)</f>
        <v>19200</v>
      </c>
      <c r="Q107" s="43">
        <f>VLOOKUP(I107,Data!$B$4:$C$36,2,FALSE)</f>
        <v>370</v>
      </c>
      <c r="R107" s="43">
        <f>IF(M114&lt;&gt;0,M114,90)</f>
        <v>90</v>
      </c>
      <c r="S107" s="179">
        <f>IF(I107="LVL",K116,IF(I107="CLT",J118,IF(Q107&gt;420,K114,J114)))</f>
        <v>6.7693373198801936</v>
      </c>
      <c r="T107" s="44">
        <f>IF(I107="LVL",0.5,0.3)</f>
        <v>0.3</v>
      </c>
      <c r="U107" s="44">
        <f>IF(I107="LVL",0.5,0.7)</f>
        <v>0.7</v>
      </c>
      <c r="V107" s="45">
        <f>IF(R107&lt;45,T107+U107*R107/45,1)</f>
        <v>1</v>
      </c>
      <c r="W107" s="43">
        <v>0</v>
      </c>
      <c r="X107" s="43">
        <f>IF(I107="LVL",1.5*COS(RADIANS(W107))^2+SIN(RADIANS(W107))^2,1)</f>
        <v>1</v>
      </c>
      <c r="Y107" s="43">
        <f>IF(I107="LVL",15,11.7)</f>
        <v>11.7</v>
      </c>
      <c r="Z107" s="46">
        <f>IF(I107="CLT",20*L107^(0.8)*MIN(N107,M107-H107)^(0.9),V107*Y107*L107*MIN(N107,(M107-H107))*(Q107/(IF(I107="LVL",500,350)))^(0.8)/X107)</f>
        <v>6164.8617526610669</v>
      </c>
      <c r="AA107" s="46">
        <f>0.4*S107*(M107-H107)*L107+MIN(0.4*S107*(M107-H107)*L107,IF(I107="CLT",1,IF(M114=0,5/6,1))*MIN(P107,Z107)/4)</f>
        <v>2649.0446021589028</v>
      </c>
      <c r="AB107" s="46">
        <f>1.15*SQRT(2*O107*S107*L107)+MIN(1.15*SQRT(2*O107*S107*L107),IF(I107="CLT",1,IF(M114=0,5/6,1))*MIN(P107,Z107)/4)</f>
        <v>2617.1958117017621</v>
      </c>
      <c r="AC107" s="46">
        <f>MIN(AA107,AB107)</f>
        <v>2617.1958117017621</v>
      </c>
      <c r="AD107" s="45">
        <f>INDEX(Data!$I$103:$O$114,MATCH(VLOOKUP(C107,Data!$AA$4:$AD$24,4,FALSE),Data!$I$103:$I$114,0),MATCH(F107,Data!$I$103:$O$103,0))</f>
        <v>12.6</v>
      </c>
      <c r="AE107" s="45">
        <f>INDEX(Data!$I$117:$O$128,MATCH(VLOOKUP(C107,Data!$AA$4:$AD$24,4,FALSE),Data!$I$117:$I$128,0),MATCH(F107,Data!$I$117:$O$117,0))</f>
        <v>61</v>
      </c>
      <c r="AF107" s="148"/>
      <c r="AG107" s="42" t="str">
        <f>'LOCK-T'!H71</f>
        <v>GL24h</v>
      </c>
      <c r="AH107" s="42" t="str">
        <f>'LOCK-T'!H111</f>
        <v>LBS Ø 7 x 80</v>
      </c>
      <c r="AI107" s="43">
        <f>VLOOKUP(VLOOKUP(C107,Data!$AA$4:$AD$24,4,FALSE),Data!$I$4:$S$15,5,FALSE)*F107</f>
        <v>36</v>
      </c>
      <c r="AJ107" s="42">
        <v>0</v>
      </c>
      <c r="AK107" s="43">
        <f>VLOOKUP(AH107,Screws!$C$6:$J$34,3,FALSE)</f>
        <v>7</v>
      </c>
      <c r="AL107" s="43">
        <f>VLOOKUP(AH107,Screws!$C$6:$J$34,5,FALSE)</f>
        <v>80</v>
      </c>
      <c r="AM107" s="43">
        <f>VLOOKUP(AH107,Screws!$C$6:$J$34,6,FALSE)</f>
        <v>75</v>
      </c>
      <c r="AN107" s="43">
        <f>VLOOKUP(AH107,Screws!$C$6:$J$34,7,FALSE)</f>
        <v>14174</v>
      </c>
      <c r="AO107" s="43">
        <f>VLOOKUP(AH107,Screws!$C$6:$J$34,8,FALSE)</f>
        <v>19200</v>
      </c>
      <c r="AP107" s="43">
        <f>VLOOKUP(AG107,Data!$B$4:$C$36,2,FALSE)</f>
        <v>385</v>
      </c>
      <c r="AQ107" s="43">
        <v>90</v>
      </c>
      <c r="AR107" s="44">
        <f>IF('LOCK-T'!H72='LOCK-T'!AA54,IF(AG107="LVL",AI116,IF(AP107&gt;420,AI114,AI114)),IF(AG107="LVL",AI116,IF(AG107="CLT",AH118,IF(AP107&gt;420,AI114,AH114))))</f>
        <v>17.609424784823478</v>
      </c>
      <c r="AS107" s="44">
        <f>IF(AG107="LVL",0.5,0.3)</f>
        <v>0.3</v>
      </c>
      <c r="AT107" s="44">
        <f>IF(AG107="LVL",0.5,0.7)</f>
        <v>0.7</v>
      </c>
      <c r="AU107" s="45">
        <f>IF(AQ107&lt;45,AS107+AT107*AQ107/45,1)</f>
        <v>1</v>
      </c>
      <c r="AV107" s="43">
        <f>IF(AG107="LVL",1.5*COS(RADIANS(AJ107))^2+SIN(RADIANS(AJ107))^2,1)</f>
        <v>1</v>
      </c>
      <c r="AW107" s="43">
        <f>IF(AG107="LVL",15,11.7)</f>
        <v>11.7</v>
      </c>
      <c r="AX107" s="46">
        <f>AU107*AW107*AK107*MIN(AM107,AL107-H107)*(AP107/(IF(AG107="LVL",500,350)))^0.8/AV107</f>
        <v>6364.0055001584997</v>
      </c>
      <c r="AY107" s="46">
        <f>0.4*AR107*(AL107-H107)*AK107+MIN(AX107,AO107)/4</f>
        <v>5141.0614116600382</v>
      </c>
      <c r="AZ107" s="46">
        <f>1.15*SQRT(2*AN107*AR107*AK107)+MIN(1.15*SQRT(2*AN107*AR107*AK107),MIN(AO107,AX107)/4)</f>
        <v>3740.7152391283153</v>
      </c>
      <c r="BA107" s="46">
        <f>MIN(AY107,AZ107)</f>
        <v>3740.7152391283153</v>
      </c>
      <c r="BB107" s="44">
        <f>INDEX(Data!$I$103:$O$114,MATCH(VLOOKUP(C107,Data!$AA$4:$AD$24,4,FALSE),Data!$I$103:$I$114,0),MATCH(F107,Data!$I$103:$O$103,0))</f>
        <v>12.6</v>
      </c>
      <c r="BC107" s="44">
        <f>INDEX(Data!$I$117:$O$128,MATCH(VLOOKUP(C107,Data!$AA$4:$AD$24,4,FALSE),Data!$I$117:$I$128,0),MATCH(F107,Data!$I$117:$O$117,0))</f>
        <v>61</v>
      </c>
      <c r="BD107" s="148">
        <f>(BE113*BA107)/SQRT(1+(((BE113*BA107)/(BF113*AX107))^2))</f>
        <v>60695.903656027469</v>
      </c>
      <c r="BE107" s="46" t="str">
        <f>'LOCK-T'!H138</f>
        <v>2 x LOCKSTOP100</v>
      </c>
      <c r="BF107" s="44">
        <f>VLOOKUP(VLOOKUP(BE107,Data!BA4:BB16,2,FALSE),Data!$I$133:$L$141,4,FALSE)*VLOOKUP(BE107,Data!BA4:BC16,3,FALSE)</f>
        <v>1554</v>
      </c>
      <c r="BG107" s="47">
        <f>MIN(AF109,BD107,BF107)/1000</f>
        <v>1.554</v>
      </c>
    </row>
    <row r="108" spans="3:59" ht="46.5" thickBot="1" x14ac:dyDescent="0.25">
      <c r="Z108" s="120" t="s">
        <v>242</v>
      </c>
      <c r="AF108" s="109" t="s">
        <v>244</v>
      </c>
    </row>
    <row r="109" spans="3:59" ht="14.25" x14ac:dyDescent="0.2">
      <c r="H109" s="73">
        <f>H107</f>
        <v>8</v>
      </c>
      <c r="I109" s="76" t="str">
        <f t="shared" ref="I109:Q109" si="2">I107</f>
        <v>GL22h</v>
      </c>
      <c r="J109" s="76" t="str">
        <f t="shared" si="2"/>
        <v>LBS Ø 7 x 80</v>
      </c>
      <c r="K109" s="73">
        <f t="shared" si="2"/>
        <v>36</v>
      </c>
      <c r="L109" s="73">
        <f t="shared" si="2"/>
        <v>7</v>
      </c>
      <c r="M109" s="73">
        <f t="shared" si="2"/>
        <v>80</v>
      </c>
      <c r="N109" s="73">
        <f t="shared" si="2"/>
        <v>75</v>
      </c>
      <c r="O109" s="76">
        <f t="shared" si="2"/>
        <v>14174</v>
      </c>
      <c r="P109" s="73">
        <f t="shared" si="2"/>
        <v>19200</v>
      </c>
      <c r="Q109" s="73">
        <f t="shared" si="2"/>
        <v>370</v>
      </c>
      <c r="R109" s="73">
        <f>M114</f>
        <v>0</v>
      </c>
      <c r="S109" s="160">
        <f t="shared" ref="S109:U109" si="3">S107</f>
        <v>6.7693373198801936</v>
      </c>
      <c r="T109" s="160">
        <f t="shared" si="3"/>
        <v>0.3</v>
      </c>
      <c r="U109" s="160">
        <f t="shared" si="3"/>
        <v>0.7</v>
      </c>
      <c r="V109" s="45">
        <f>IF(R109&lt;45,T109+U109*R109/45,1)</f>
        <v>0.3</v>
      </c>
      <c r="W109" s="73">
        <f t="shared" ref="W109:Y109" si="4">W107</f>
        <v>0</v>
      </c>
      <c r="X109" s="73">
        <f t="shared" si="4"/>
        <v>1</v>
      </c>
      <c r="Y109" s="76">
        <f t="shared" si="4"/>
        <v>11.7</v>
      </c>
      <c r="Z109" s="46">
        <f>IF(I109="CLT",20*L109^(0.8)*MIN(N109,M109-H109)^(0.9),V109*Y109*L109*MIN(N109,(M109-H109))*(Q109/(IF(I109="LVL",500,350)))^(0.8)/X109)</f>
        <v>1849.4585257983201</v>
      </c>
      <c r="AA109" s="46"/>
      <c r="AB109" s="46"/>
      <c r="AC109" s="46"/>
      <c r="AD109" s="45"/>
      <c r="AE109" s="45"/>
      <c r="AF109" s="46">
        <f>(AD113*AC107)/SQRT(1+(((AD113*AC107)/(AE113*Z109))^2))</f>
        <v>40464.394887481736</v>
      </c>
    </row>
    <row r="112" spans="3:59" ht="29.25" thickBot="1" x14ac:dyDescent="0.25">
      <c r="C112" s="50" t="s">
        <v>90</v>
      </c>
      <c r="D112" s="51" t="s">
        <v>51</v>
      </c>
      <c r="E112" s="53" t="s">
        <v>97</v>
      </c>
      <c r="F112" s="53" t="s">
        <v>173</v>
      </c>
      <c r="G112" s="53" t="s">
        <v>174</v>
      </c>
      <c r="I112" s="441" t="s">
        <v>250</v>
      </c>
      <c r="J112" s="441"/>
      <c r="K112" s="441"/>
      <c r="L112" s="441"/>
      <c r="AD112" s="53" t="s">
        <v>388</v>
      </c>
      <c r="AE112" s="53" t="s">
        <v>389</v>
      </c>
      <c r="AG112" s="441" t="s">
        <v>250</v>
      </c>
      <c r="AH112" s="441"/>
      <c r="AI112" s="441"/>
      <c r="AJ112" s="441"/>
      <c r="BB112" s="28" t="s">
        <v>173</v>
      </c>
      <c r="BC112" s="28" t="s">
        <v>174</v>
      </c>
      <c r="BE112" s="53" t="s">
        <v>388</v>
      </c>
      <c r="BF112" s="53" t="s">
        <v>389</v>
      </c>
    </row>
    <row r="113" spans="3:58" ht="29.25" thickBot="1" x14ac:dyDescent="0.25">
      <c r="C113" s="42" t="str">
        <f>'LOCK-T'!$I$97</f>
        <v>LOCK-T 50 135</v>
      </c>
      <c r="D113" s="42">
        <f>VLOOKUP(C113,Data!$AA$4:$AF$24,6,FALSE)</f>
        <v>2</v>
      </c>
      <c r="E113" s="43">
        <f>VLOOKUP(VLOOKUP(C113,Data!$AA$4:$AD$24,4,FALSE),Data!$I$4:$S$15,5,FALSE)*D113</f>
        <v>6</v>
      </c>
      <c r="F113" s="45">
        <f>INDEX(Data!$I$103:$O$114,MATCH(VLOOKUP(C113,Data!$AA$4:$AD$24,4,FALSE),Data!$I$103:$I$114,0),MATCH(D113,Data!$I$103:$O$103,0))</f>
        <v>3.8</v>
      </c>
      <c r="G113" s="45">
        <f>INDEX(Data!$I$117:$O$128,MATCH(VLOOKUP(C113,Data!$AA$4:$AD$24,4,FALSE),Data!$I$117:$I$128,0),MATCH(D113,Data!$I$117:$O$117,0))</f>
        <v>4.5999999999999996</v>
      </c>
      <c r="J113" t="s">
        <v>249</v>
      </c>
      <c r="K113" t="s">
        <v>248</v>
      </c>
      <c r="M113" s="53" t="s">
        <v>110</v>
      </c>
      <c r="AD113" s="45">
        <f>AD107+F113</f>
        <v>16.399999999999999</v>
      </c>
      <c r="AE113" s="45">
        <f>AE107+G113</f>
        <v>65.599999999999994</v>
      </c>
      <c r="AH113" t="s">
        <v>249</v>
      </c>
      <c r="AI113" t="s">
        <v>248</v>
      </c>
      <c r="AK113" s="53" t="s">
        <v>110</v>
      </c>
      <c r="BB113">
        <f>INDEX(Data!$I$103:$O$114,MATCH(VLOOKUP(C113,Data!$AA$4:$AD$24,4,FALSE),Data!$I$103:$I$114,0),MATCH(D113,Data!$I$103:$O$103,0))</f>
        <v>3.8</v>
      </c>
      <c r="BC113">
        <f>INDEX(Data!$I$117:$O$128,MATCH(VLOOKUP(C113,Data!$AA$4:$AD$24,4,FALSE),Data!$I$117:$I$128,0),MATCH(D113,Data!$I$117:$O$117,0))</f>
        <v>4.5999999999999996</v>
      </c>
      <c r="BE113" s="160">
        <f>BB107+BB113</f>
        <v>16.399999999999999</v>
      </c>
      <c r="BF113" s="160">
        <f>BC107+BC113</f>
        <v>65.599999999999994</v>
      </c>
    </row>
    <row r="114" spans="3:58" ht="14.25" x14ac:dyDescent="0.2">
      <c r="I114" t="s">
        <v>247</v>
      </c>
      <c r="J114">
        <f>0.082*Q107*L107^(-0.3)/((2.5*COS(RADIANS(M114))^2+SIN(RADIANS(M114))^2))</f>
        <v>6.7693373198801936</v>
      </c>
      <c r="K114">
        <f>0.082*Q107*(1-0.01*L107)/((2.5*COS(RADIANS(M114))^2+SIN(RADIANS(M114))^2))</f>
        <v>11.286479999999999</v>
      </c>
      <c r="M114" s="43">
        <f>ABS('LOCK-T'!H86)</f>
        <v>0</v>
      </c>
      <c r="AG114" t="s">
        <v>247</v>
      </c>
      <c r="AH114">
        <f>0.082*AP107*AK107^(-0.3)/((2.5*COS(RADIANS(AK114))^2+SIN(RADIANS(AK114))^2))</f>
        <v>17.609424784823478</v>
      </c>
      <c r="AI114">
        <f>0.082*AP107*(1-0.01*AK107)/((2.5*COS(RADIANS(AK114))^2+SIN(RADIANS(AK114))^2))</f>
        <v>29.360099999999999</v>
      </c>
      <c r="AK114" s="43">
        <v>90</v>
      </c>
    </row>
    <row r="115" spans="3:58" ht="29.25" thickBot="1" x14ac:dyDescent="0.25">
      <c r="D115" s="52" t="s">
        <v>92</v>
      </c>
      <c r="E115" s="51" t="s">
        <v>51</v>
      </c>
      <c r="F115" s="51" t="s">
        <v>93</v>
      </c>
    </row>
    <row r="116" spans="3:58" ht="14.25" x14ac:dyDescent="0.2">
      <c r="D116" s="43">
        <f>IF(OR(C113="Lock-T 80",C113="Lock-T 100",C113="Lock-T 120"),17.5,25)</f>
        <v>25</v>
      </c>
      <c r="E116" s="43">
        <f>D113</f>
        <v>2</v>
      </c>
      <c r="F116" s="43">
        <f>D116*E116</f>
        <v>50</v>
      </c>
      <c r="I116" t="s">
        <v>2</v>
      </c>
      <c r="J116">
        <f>0.082*Q107*L107^(-0.3)/((2.5*COS(RADIANS(M114))^2+SIN(RADIANS(M114))^2)*(1.5*COS(RADIANS(W107))^2+SIN(RADIANS(W107))^2))</f>
        <v>4.512891546586796</v>
      </c>
      <c r="K116">
        <f>0.082*Q107*(1-0.01*L107)/((2.5*COS(RADIANS(M114))^2+SIN(RADIANS(M114))^2)*(1.5*COS(RADIANS(W107))^2+SIN(RADIANS(W107))^2))</f>
        <v>7.5243199999999995</v>
      </c>
      <c r="AG116" t="s">
        <v>2</v>
      </c>
      <c r="AH116">
        <f>0.082*AP107*AK107^(-0.3)/((2.5*COS(RADIANS(AK114))^2+SIN(RADIANS(AK114))^2)*(1.5*COS(RADIANS(AJ107))^2+SIN(RADIANS(AJ107))^2))</f>
        <v>11.739616523215652</v>
      </c>
      <c r="AI116">
        <f>0.082*AP107*(1-0.01*AK107)/((2.5*COS(RADIANS(AK114))^2+SIN(RADIANS(AK114))^2)*(1.5*COS(RADIANS(AJ107))^2+SIN(RADIANS(AJ107))^2))</f>
        <v>19.573399999999999</v>
      </c>
    </row>
    <row r="118" spans="3:58" x14ac:dyDescent="0.2">
      <c r="I118" t="s">
        <v>6</v>
      </c>
      <c r="J118">
        <f>IF(M114=0,20*L107^(-0.5),0.082*Q107*L107^(-0.3)/((2.5*COS(RADIANS(M114))^2+SIN(RADIANS(M114))^2)))</f>
        <v>7.5592894601845444</v>
      </c>
      <c r="AG118" t="s">
        <v>6</v>
      </c>
      <c r="AH118">
        <f>IF(AK114=0,20*AK107^(-0.5),0.082*AP107*AK107^(-0.3)/((2.5*COS(RADIANS(AK114))^2+SIN(RADIANS(AK114))^2)))</f>
        <v>17.609424784823478</v>
      </c>
    </row>
  </sheetData>
  <sheetProtection algorithmName="SHA-512" hashValue="McKySYlncVAFXWxpO+Eq5sBp0KkUJb7TLsl9J2yhCWj2I9mm+1ziuaehQm614w+9OLkBZSnLaVXH6H+Ou9StqQ==" saltValue="v4XZypbNfG1+HrFMaZ2yQw==" spinCount="100000" sheet="1" objects="1" scenarios="1" selectLockedCells="1"/>
  <mergeCells count="23">
    <mergeCell ref="C30:H30"/>
    <mergeCell ref="I30:AF30"/>
    <mergeCell ref="AG30:AY30"/>
    <mergeCell ref="C2:F2"/>
    <mergeCell ref="C4:H4"/>
    <mergeCell ref="I4:AF4"/>
    <mergeCell ref="AG4:AR4"/>
    <mergeCell ref="I11:L11"/>
    <mergeCell ref="AG11:AJ11"/>
    <mergeCell ref="BD34:BD35"/>
    <mergeCell ref="BE34:BE35"/>
    <mergeCell ref="BE105:BF105"/>
    <mergeCell ref="I112:L112"/>
    <mergeCell ref="AG112:AJ112"/>
    <mergeCell ref="I37:L37"/>
    <mergeCell ref="C105:H105"/>
    <mergeCell ref="I105:AF105"/>
    <mergeCell ref="AG105:BD105"/>
    <mergeCell ref="C81:H81"/>
    <mergeCell ref="I81:AF81"/>
    <mergeCell ref="AG81:BD81"/>
    <mergeCell ref="I88:L88"/>
    <mergeCell ref="AG88:AJ88"/>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C7AAAFC3-F539-4FC3-8143-9ADE7372A04D}">
          <x14:formula1>
            <xm:f>Data!$B$4:$B$34</xm:f>
          </x14:formula1>
          <xm:sqref>I6 AG6 I32 AG32 I83 AG83</xm:sqref>
        </x14:dataValidation>
        <x14:dataValidation type="list" allowBlank="1" showInputMessage="1" showErrorMessage="1" xr:uid="{645A40D2-2A3B-44F2-B948-E49C634AB924}">
          <x14:formula1>
            <xm:f>Screws!$C$6:$C$29</xm:f>
          </x14:formula1>
          <xm:sqref>J6 AH6 J32 AH32 J83 AH83</xm:sqref>
        </x14:dataValidation>
        <x14:dataValidation type="list" allowBlank="1" showInputMessage="1" showErrorMessage="1" xr:uid="{D4130E9E-C338-4977-9B5A-519900D70A28}">
          <x14:formula1>
            <xm:f>Data!$W$3:$W$12</xm:f>
          </x14:formula1>
          <xm:sqref>F6 F32 F83 F107</xm:sqref>
        </x14:dataValidation>
        <x14:dataValidation type="list" allowBlank="1" showInputMessage="1" showErrorMessage="1" xr:uid="{491E57A1-B982-4904-9AD0-6FDEFC5E6A2D}">
          <x14:formula1>
            <xm:f>Data!$I$4:$I$12</xm:f>
          </x14:formula1>
          <xm:sqref>C6 C32 C83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A8911-8528-4929-A19E-AA5E2518F30A}">
  <sheetPr codeName="Foglio9">
    <tabColor rgb="FF00B050"/>
  </sheetPr>
  <dimension ref="B2:BC32"/>
  <sheetViews>
    <sheetView showGridLines="0" topLeftCell="T1" zoomScale="70" zoomScaleNormal="70" workbookViewId="0">
      <selection activeCell="J52" sqref="J52"/>
    </sheetView>
  </sheetViews>
  <sheetFormatPr defaultRowHeight="12.75" outlineLevelCol="1" x14ac:dyDescent="0.2"/>
  <cols>
    <col min="1" max="1" width="6.875"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241</v>
      </c>
      <c r="Z5" s="53" t="s">
        <v>106</v>
      </c>
      <c r="AA5" s="53" t="s">
        <v>107</v>
      </c>
      <c r="AB5" s="53" t="s">
        <v>108</v>
      </c>
      <c r="AC5" s="53" t="s">
        <v>129</v>
      </c>
      <c r="AD5" s="28" t="s">
        <v>95</v>
      </c>
      <c r="AE5" s="28" t="s">
        <v>96</v>
      </c>
      <c r="AF5" s="28" t="s">
        <v>97</v>
      </c>
      <c r="AG5" s="28" t="s">
        <v>123</v>
      </c>
      <c r="AH5" s="28" t="s">
        <v>98</v>
      </c>
      <c r="AI5" s="28" t="s">
        <v>99</v>
      </c>
      <c r="AJ5" s="141"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128</v>
      </c>
      <c r="BB5" s="51" t="s">
        <v>120</v>
      </c>
      <c r="BC5" s="54" t="s">
        <v>127</v>
      </c>
    </row>
    <row r="6" spans="2:55"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3">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IF(L13&lt;&gt;0,L13,90)</f>
        <v>90</v>
      </c>
      <c r="R6" s="179">
        <f>IF(H6="LVL",J15,IF(H6="CLT",I17,IF(P6&gt;420,J13,I13)))</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6164.8617526610669</v>
      </c>
      <c r="Z6" s="46">
        <f>0.4*R6*(L6-G6)*K6+MIN(0.4*R6*(L6-G6)*K6,IF(H6="CLT",1,5/6)*MIN(O6,Y6)/4)</f>
        <v>2649.0446021589028</v>
      </c>
      <c r="AA6" s="46">
        <f>1.15*SQRT(2*N6*R6*K6)+MIN(1.15*SQRT(2*N6*R6*K6),IF(H6="CLT",1,5/6)*MIN(O6,Y6)/4)</f>
        <v>2617.1958117017621</v>
      </c>
      <c r="AB6" s="46">
        <f>MIN(Z6,AA6)</f>
        <v>2617.1958117017621</v>
      </c>
      <c r="AC6" s="46">
        <f>J6*AB6</f>
        <v>94219.049221263442</v>
      </c>
      <c r="AD6" s="42" t="str">
        <f>'LOCK-T'!H71</f>
        <v>GL24h</v>
      </c>
      <c r="AE6" s="42" t="str">
        <f>'LOCK-T'!H141</f>
        <v>LBS Ø 5 x 60</v>
      </c>
      <c r="AF6" s="178">
        <f>IF('LOCK-T'!H99=2,Uplift!AG30+Uplift!AG31,Uplift!AG30)</f>
        <v>3</v>
      </c>
      <c r="AG6" s="42">
        <v>0</v>
      </c>
      <c r="AH6" s="43">
        <f>VLOOKUP(AE6,Screws!$C$6:$J$34,3,FALSE)</f>
        <v>5</v>
      </c>
      <c r="AI6" s="43">
        <f>VLOOKUP(AE6,Screws!$C$6:$J$34,5,FALSE)</f>
        <v>60</v>
      </c>
      <c r="AJ6" s="43">
        <f>VLOOKUP(AE6,Screws!$C$6:$J$34,6,FALSE)</f>
        <v>56</v>
      </c>
      <c r="AK6" s="43">
        <f>VLOOKUP(AE6,Screws!$C$6:$J$34,7,FALSE)</f>
        <v>5417.2</v>
      </c>
      <c r="AL6" s="43">
        <f>VLOOKUP(AE6,Screws!$C$6:$J$34,8,FALSE)</f>
        <v>7900</v>
      </c>
      <c r="AM6" s="43">
        <f>VLOOKUP(AD6,Data!$B$4:$C$36,2,FALSE)</f>
        <v>385</v>
      </c>
      <c r="AN6" s="43">
        <f>IF('LOCK-T'!H72='LOCK-T'!AA53,90,45)</f>
        <v>90</v>
      </c>
      <c r="AO6" s="179">
        <f>IF('LOCK-T'!H72='LOCK-T'!AA54,IF(AD6="LVL",AF15,IF(AM6&gt;420,AF13,AF13)),IF(AD6="LVL",AF15,IF(AD6="CLT",AE17,IF(AM6&gt;420,AF13,AE13))))</f>
        <v>19.479759046070704</v>
      </c>
      <c r="AP6" s="44">
        <f>IF(AD6="LVL",0.5,0.3)</f>
        <v>0.3</v>
      </c>
      <c r="AQ6" s="44">
        <f>IF(AD6="LVL",0.5,0.7)</f>
        <v>0.7</v>
      </c>
      <c r="AR6" s="45">
        <f>IF(AN6&lt;45,AP6+AQ6*AN6/45,1)</f>
        <v>1</v>
      </c>
      <c r="AS6" s="43">
        <f>IF(AD6="LVL",1.5*COS(RADIANS(AG6))^2+SIN(RADIANS(AG6))^2,1)</f>
        <v>1</v>
      </c>
      <c r="AT6" s="43">
        <f>IF(AD6="LVL",15,11.7)</f>
        <v>11.7</v>
      </c>
      <c r="AU6" s="46">
        <f>AR6*AT6*AH6*MIN(AJ6,AI6-(VLOOKUP(VLOOKUP(B6,Data!$AA$4:$AD$24,4,FALSE),Data!Q86:R96,2,FALSE)))*(AM6/(IF(AD6="LVL",500,350)))^0.8/AS6</f>
        <v>3030.4788095992858</v>
      </c>
      <c r="AV6" s="46">
        <f>0.4*AO6*(AI6-G6)*AH6+MIN(AU6,AL6)/4</f>
        <v>2783.5146431911749</v>
      </c>
      <c r="AW6" s="46">
        <f>1.15*SQRT(2*AK6*AO6*AH6)+MIN(1.15*SQRT(2*AK6*AO6*AH6),MIN(AL6,AU6)/4)</f>
        <v>1938.9655675321919</v>
      </c>
      <c r="AX6" s="46">
        <f>MIN(AV6,AW6)</f>
        <v>1938.9655675321919</v>
      </c>
      <c r="AY6" s="46">
        <f>AF6*AX6</f>
        <v>5816.8967025965758</v>
      </c>
      <c r="AZ6" s="44">
        <f>VLOOKUP(VLOOKUP(B6,Data!$AA$4:$AD$24,4,FALSE),Data!$I$4:$S$15,8,FALSE)*E6</f>
        <v>144</v>
      </c>
      <c r="BA6" s="46">
        <f>(MAX(0.9*AF6,AF6^0.9)*1.25*AU6)/SQRT(2)</f>
        <v>7232.1933932205457</v>
      </c>
      <c r="BB6" s="46">
        <f>VLOOKUP(VLOOKUP(B6,Data!$AA$4:$AD$24,4,FALSE),Data!$I$4:$S$15,9,FALSE)*1000*(E6)</f>
        <v>96000</v>
      </c>
      <c r="BC6" s="47">
        <f>MIN(AC6,BA6,BB6*0.5)/1000</f>
        <v>7.2321933932205456</v>
      </c>
    </row>
    <row r="7" spans="2:55" ht="51.95" customHeight="1" thickBot="1" x14ac:dyDescent="0.25">
      <c r="Y7" s="53" t="s">
        <v>242</v>
      </c>
    </row>
    <row r="8" spans="2:55" ht="14.25" x14ac:dyDescent="0.2">
      <c r="G8">
        <f>G6</f>
        <v>8</v>
      </c>
      <c r="H8" t="str">
        <f t="shared" ref="H8:P8" si="0">H6</f>
        <v>GL22h</v>
      </c>
      <c r="I8" t="str">
        <f t="shared" si="0"/>
        <v>LBS Ø 7 x 80</v>
      </c>
      <c r="J8">
        <f t="shared" si="0"/>
        <v>36</v>
      </c>
      <c r="K8">
        <f t="shared" si="0"/>
        <v>7</v>
      </c>
      <c r="L8">
        <f t="shared" si="0"/>
        <v>80</v>
      </c>
      <c r="M8">
        <f t="shared" si="0"/>
        <v>75</v>
      </c>
      <c r="N8">
        <f t="shared" si="0"/>
        <v>14174</v>
      </c>
      <c r="O8">
        <f t="shared" si="0"/>
        <v>19200</v>
      </c>
      <c r="P8">
        <f t="shared" si="0"/>
        <v>370</v>
      </c>
      <c r="Q8">
        <f>L13</f>
        <v>0</v>
      </c>
      <c r="R8" s="160">
        <f>R6</f>
        <v>6.7693373198801936</v>
      </c>
      <c r="S8" s="44">
        <f>IF(H8="LVL",0.5,0.3)</f>
        <v>0.3</v>
      </c>
      <c r="T8" s="44">
        <f>IF(H8="LVL",0.5,0.7)</f>
        <v>0.7</v>
      </c>
      <c r="U8" s="45">
        <f>IF(Q8&lt;45,S8+T8*Q8/45,1)</f>
        <v>0.3</v>
      </c>
      <c r="V8" s="43">
        <v>0</v>
      </c>
      <c r="W8" s="43">
        <f>IF(H8="LVL",1.5*COS(RADIANS(V8))^2+SIN(RADIANS(V8))^2,1)</f>
        <v>1</v>
      </c>
      <c r="X8" s="43">
        <f>IF(H8="LVL",15,11.7)</f>
        <v>11.7</v>
      </c>
      <c r="Y8" s="46">
        <f>IF(H8="CLT",20*K8^(0.8)*MIN(M8,L8-G8)^(0.9),U8*X8*K8*MIN(M8,(L8-G8))*(P8/(IF(H8="LVL",500,350)))^(0.8)/W8)</f>
        <v>1849.4585257983201</v>
      </c>
    </row>
    <row r="11" spans="2:55" x14ac:dyDescent="0.2">
      <c r="H11" s="441" t="s">
        <v>250</v>
      </c>
      <c r="I11" s="441"/>
      <c r="J11" s="441"/>
      <c r="K11" s="441"/>
      <c r="AD11" s="441" t="s">
        <v>250</v>
      </c>
      <c r="AE11" s="441"/>
      <c r="AF11" s="441"/>
      <c r="AG11" s="441"/>
    </row>
    <row r="12" spans="2:55" ht="29.25" thickBot="1" x14ac:dyDescent="0.25">
      <c r="I12" t="s">
        <v>249</v>
      </c>
      <c r="J12" t="s">
        <v>248</v>
      </c>
      <c r="L12" s="53" t="s">
        <v>110</v>
      </c>
      <c r="AE12" t="s">
        <v>249</v>
      </c>
      <c r="AF12" t="s">
        <v>248</v>
      </c>
      <c r="AH12" s="53" t="s">
        <v>110</v>
      </c>
    </row>
    <row r="13" spans="2:55" ht="14.25" x14ac:dyDescent="0.2">
      <c r="H13" t="s">
        <v>247</v>
      </c>
      <c r="I13">
        <f>0.082*P6*K6^(-0.3)/((2.5*COS(RADIANS(L13))^2+SIN(RADIANS(L13))^2))</f>
        <v>6.7693373198801936</v>
      </c>
      <c r="J13">
        <f>0.082*P6*(1-0.01*K6)/((2.5*COS(RADIANS(L13))^2+SIN(RADIANS(L13))^2))</f>
        <v>11.286479999999999</v>
      </c>
      <c r="L13" s="43">
        <f>ABS('LOCK-T'!H86)</f>
        <v>0</v>
      </c>
      <c r="AD13" t="s">
        <v>247</v>
      </c>
      <c r="AE13">
        <f>0.082*AM6*AH6^(-0.3)/((2.5*COS(RADIANS(AH13))^2+SIN(RADIANS(AH13))^2))</f>
        <v>19.479759046070704</v>
      </c>
      <c r="AF13">
        <f>0.082*AM6*(1-0.01*AH6)/((2.5*COS(RADIANS(AH13))^2+SIN(RADIANS(AH13))^2))</f>
        <v>29.991499999999998</v>
      </c>
      <c r="AH13" s="43">
        <f>AN6</f>
        <v>90</v>
      </c>
    </row>
    <row r="15" spans="2:55" x14ac:dyDescent="0.2">
      <c r="H15" t="s">
        <v>2</v>
      </c>
      <c r="I15">
        <f>0.082*P6*K6^(-0.3)/((2.5*COS(RADIANS(L13))^2+SIN(RADIANS(L13))^2)*(1.5*COS(RADIANS(V6))^2+SIN(RADIANS(V6))^2))</f>
        <v>4.512891546586796</v>
      </c>
      <c r="J15">
        <f>0.082*P6*(1-0.01*K6)/((2.5*COS(RADIANS(L13))^2+SIN(RADIANS(L13))^2)*(1.5*COS(RADIANS(V6))^2+SIN(RADIANS(V6))^2))</f>
        <v>7.5243199999999995</v>
      </c>
      <c r="AD15" t="s">
        <v>2</v>
      </c>
      <c r="AE15">
        <f>0.082*AM6*AH6^(-0.3)/((2.5*COS(RADIANS(AH13))^2+SIN(RADIANS(AH13))^2)*(1.5*COS(RADIANS(AG6))^2+SIN(RADIANS(AG6))^2))</f>
        <v>12.986506030713803</v>
      </c>
      <c r="AF15">
        <f>0.082*AM6*(1-0.01*AH6)/((2.5*COS(RADIANS(AH13))^2+SIN(RADIANS(AH13))^2)*(1.5*COS(RADIANS(AG6))^2+SIN(RADIANS(AG6))^2))</f>
        <v>19.994333333333334</v>
      </c>
    </row>
    <row r="17" spans="8:46" x14ac:dyDescent="0.2">
      <c r="H17" t="s">
        <v>6</v>
      </c>
      <c r="I17">
        <f>IF(L13=0,20*K6^(-0.5),0.082*P6*K6^(-0.3)/((2.5*COS(RADIANS(L13))^2+SIN(RADIANS(L13))^2)))</f>
        <v>7.5592894601845444</v>
      </c>
      <c r="AD17" t="s">
        <v>6</v>
      </c>
      <c r="AE17">
        <f>IF(AH13=0,20*AH6^(-0.5),0.082*AM6*AH6^(-0.3)/((2.5*COS(RADIANS(AH13))^2+SIN(RADIANS(AH13))^2)))</f>
        <v>19.479759046070704</v>
      </c>
    </row>
    <row r="23" spans="8:46" ht="15" thickBot="1" x14ac:dyDescent="0.3">
      <c r="AT23" t="s">
        <v>330</v>
      </c>
    </row>
    <row r="24" spans="8:46" x14ac:dyDescent="0.2">
      <c r="AF24" s="245"/>
      <c r="AG24" s="246"/>
      <c r="AH24" s="246"/>
      <c r="AI24" s="247"/>
    </row>
    <row r="25" spans="8:46" x14ac:dyDescent="0.2">
      <c r="AF25" s="248"/>
      <c r="AI25" s="249"/>
    </row>
    <row r="26" spans="8:46" x14ac:dyDescent="0.2">
      <c r="AF26" s="248"/>
      <c r="AG26" t="s">
        <v>379</v>
      </c>
      <c r="AI26" s="249"/>
    </row>
    <row r="27" spans="8:46" x14ac:dyDescent="0.2">
      <c r="AF27" s="248"/>
      <c r="AI27" s="249"/>
    </row>
    <row r="28" spans="8:46" x14ac:dyDescent="0.2">
      <c r="AF28" s="248"/>
      <c r="AI28" s="249"/>
    </row>
    <row r="29" spans="8:46" x14ac:dyDescent="0.2">
      <c r="AF29" s="248"/>
      <c r="AG29" t="str">
        <f>IF('LOCK-T'!H65="Viti inclinate","Viti inclinate","uplift")</f>
        <v>uplift</v>
      </c>
      <c r="AI29" s="249"/>
    </row>
    <row r="30" spans="8:46" x14ac:dyDescent="0.2">
      <c r="AF30" s="248"/>
      <c r="AG30">
        <f>IF('LOCK-T'!H65='LOCK-T'!AB62,VLOOKUP(B6,Data!AA32:AC50,3,FALSE),VLOOKUP(B6,Data!AA32:AC50,2,FALSE))</f>
        <v>3</v>
      </c>
      <c r="AH30" t="s">
        <v>380</v>
      </c>
      <c r="AI30" s="249"/>
    </row>
    <row r="31" spans="8:46" x14ac:dyDescent="0.2">
      <c r="AF31" s="248"/>
      <c r="AG31">
        <f>IF('LOCK-T'!H65='LOCK-T'!AB62,VLOOKUP('LOCK-T'!I97,Data!AA32:AC50,3,FALSE),VLOOKUP('LOCK-T'!I97,Data!AA32:AC50,2,FALSE))</f>
        <v>1</v>
      </c>
      <c r="AH31" t="s">
        <v>378</v>
      </c>
      <c r="AI31" s="249"/>
    </row>
    <row r="32" spans="8:46" ht="13.5" thickBot="1" x14ac:dyDescent="0.25">
      <c r="AF32" s="250"/>
      <c r="AG32" s="251"/>
      <c r="AH32" s="251"/>
      <c r="AI32" s="252"/>
    </row>
  </sheetData>
  <sheetProtection algorithmName="SHA-512" hashValue="HElctTw17OtWO8UfpXIKMvxkOjCQaT0U8dzyU0niyJkTeeD3LTjBBheFTKYGNiEjzqCi+NmMgPw3rprhsSUm5w==" saltValue="P22Hwjuq0E80DiOs3AMJvA==" spinCount="100000" sheet="1" objects="1" scenarios="1" selectLockedCells="1"/>
  <mergeCells count="6">
    <mergeCell ref="B2:E2"/>
    <mergeCell ref="B4:G4"/>
    <mergeCell ref="H4:AC4"/>
    <mergeCell ref="AD4:BA4"/>
    <mergeCell ref="H11:K11"/>
    <mergeCell ref="AD11:AG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BA0DAAB-E41F-40B7-A1C3-8F40EA659CDE}">
          <x14:formula1>
            <xm:f>Data!$I$4:$I$12</xm:f>
          </x14:formula1>
          <xm:sqref>B6</xm:sqref>
        </x14:dataValidation>
        <x14:dataValidation type="list" allowBlank="1" showInputMessage="1" showErrorMessage="1" xr:uid="{25C3EAEB-44B6-498C-8955-B9F0FCE8D2F6}">
          <x14:formula1>
            <xm:f>Data!$W$3:$W$12</xm:f>
          </x14:formula1>
          <xm:sqref>E6</xm:sqref>
        </x14:dataValidation>
        <x14:dataValidation type="list" allowBlank="1" showInputMessage="1" showErrorMessage="1" xr:uid="{B68EADCA-6502-4BEA-893E-38D29C6285C6}">
          <x14:formula1>
            <xm:f>Screws!$C$6:$C$29</xm:f>
          </x14:formula1>
          <xm:sqref>I6 AE6</xm:sqref>
        </x14:dataValidation>
        <x14:dataValidation type="list" allowBlank="1" showInputMessage="1" showErrorMessage="1" xr:uid="{59FF7A84-54E2-44C8-9BFA-D9783135DE5A}">
          <x14:formula1>
            <xm:f>Data!$B$4:$B$34</xm:f>
          </x14:formula1>
          <xm:sqref>H6 AD6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CADA-C05F-4319-9ECD-C2FD63D87613}">
  <sheetPr codeName="Foglio10">
    <tabColor rgb="FFF9ADAD"/>
  </sheetPr>
  <dimension ref="B2:BC23"/>
  <sheetViews>
    <sheetView showGridLines="0" zoomScale="70" zoomScaleNormal="70" workbookViewId="0">
      <selection activeCell="J52" sqref="J52"/>
    </sheetView>
  </sheetViews>
  <sheetFormatPr defaultRowHeight="12.75" outlineLevelCol="1" x14ac:dyDescent="0.2"/>
  <cols>
    <col min="1" max="1" width="6.875"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241</v>
      </c>
      <c r="Z5" s="53" t="s">
        <v>106</v>
      </c>
      <c r="AA5" s="53" t="s">
        <v>107</v>
      </c>
      <c r="AB5" s="53" t="s">
        <v>108</v>
      </c>
      <c r="AC5" s="53" t="s">
        <v>129</v>
      </c>
      <c r="AD5" s="28" t="s">
        <v>95</v>
      </c>
      <c r="AE5" s="28" t="s">
        <v>96</v>
      </c>
      <c r="AF5" s="28" t="s">
        <v>97</v>
      </c>
      <c r="AG5" s="28" t="s">
        <v>123</v>
      </c>
      <c r="AH5" s="28" t="s">
        <v>98</v>
      </c>
      <c r="AI5" s="28" t="s">
        <v>99</v>
      </c>
      <c r="AJ5" s="141"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128</v>
      </c>
      <c r="BB5" s="51" t="s">
        <v>120</v>
      </c>
      <c r="BC5" s="54" t="s">
        <v>127</v>
      </c>
    </row>
    <row r="6" spans="2:55"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3">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IF(L13&lt;&gt;0,L13,90)</f>
        <v>90</v>
      </c>
      <c r="R6" s="179">
        <f>IF(H6="LVL",J15,IF(H6="CLT",I17,IF(P6&gt;420,J13,I13)))</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6250.4848325591374</v>
      </c>
      <c r="Z6" s="46">
        <f>0.4*R6*(L6-G6)*K6+MIN(0.4*R6*(L6-G6)*K6,IF(H6="CLT",1,5/6)*MIN(O6,Y6)/4)</f>
        <v>2685.8368882999985</v>
      </c>
      <c r="AA6" s="46">
        <f>1.15*SQRT(2*N6*R6*K6)+MIN(1.15*SQRT(2*N6*R6*K6),IF(H6="CLT",1,5/6)*MIN(O6,Y6)/4)</f>
        <v>2635.0339533471933</v>
      </c>
      <c r="AB6" s="46">
        <f>MIN(Z6,AA6)</f>
        <v>2635.0339533471933</v>
      </c>
      <c r="AC6" s="46">
        <f>J6*AB6</f>
        <v>15810.20372008316</v>
      </c>
      <c r="AD6" s="42" t="str">
        <f>'LOCK-T'!H71</f>
        <v>GL24h</v>
      </c>
      <c r="AE6" s="42" t="str">
        <f>'LOCK-T'!I141</f>
        <v>LBS Ø 5 x 60</v>
      </c>
      <c r="AF6" s="178">
        <f>VLOOKUP(B6,Data!AA4:AL24,12,FALSE)</f>
        <v>1</v>
      </c>
      <c r="AG6" s="42">
        <v>0</v>
      </c>
      <c r="AH6" s="43">
        <f>VLOOKUP(AE6,Screws!$C$6:$J$34,3,FALSE)</f>
        <v>5</v>
      </c>
      <c r="AI6" s="43">
        <f>VLOOKUP(AE6,Screws!$C$6:$J$34,5,FALSE)</f>
        <v>60</v>
      </c>
      <c r="AJ6" s="43">
        <f>VLOOKUP(AE6,Screws!$C$6:$J$34,6,FALSE)</f>
        <v>56</v>
      </c>
      <c r="AK6" s="43">
        <f>VLOOKUP(AE6,Screws!$C$6:$J$34,7,FALSE)</f>
        <v>5417.2</v>
      </c>
      <c r="AL6" s="43">
        <f>VLOOKUP(AE6,Screws!$C$6:$J$34,8,FALSE)</f>
        <v>7900</v>
      </c>
      <c r="AM6" s="43">
        <f>VLOOKUP(AD6,Data!$B$4:$C$36,2,FALSE)</f>
        <v>385</v>
      </c>
      <c r="AN6" s="43">
        <f>IF('LOCK-T'!H72='LOCK-T'!AA53,90,45)</f>
        <v>90</v>
      </c>
      <c r="AO6" s="179">
        <f>IF('LOCK-T'!H72='LOCK-T'!AA54,IF(AD6="LVL",AF15,IF(AM6&gt;420,AF13,AF13)),IF(AD6="LVL",AF15,IF(AD6="CLT",AE17,IF(AM6&gt;420,AF13,AE13))))</f>
        <v>19.479759046070704</v>
      </c>
      <c r="AP6" s="44">
        <f>IF(AD6="LVL",0.5,0.3)</f>
        <v>0.3</v>
      </c>
      <c r="AQ6" s="44">
        <f>IF(AD6="LVL",0.5,0.7)</f>
        <v>0.7</v>
      </c>
      <c r="AR6" s="45">
        <f>IF(AN6&lt;45,AP6+AQ6*AN6/45,1)</f>
        <v>1</v>
      </c>
      <c r="AS6" s="43">
        <f>IF(AD6="LVL",1.5*COS(RADIANS(AG6))^2+SIN(RADIANS(AG6))^2,1)</f>
        <v>1</v>
      </c>
      <c r="AT6" s="43">
        <f>IF(AD6="LVL",15,11.7)</f>
        <v>11.7</v>
      </c>
      <c r="AU6" s="46">
        <f>AR6*AT6*AH6*MIN(AJ6,AI6-(VLOOKUP(VLOOKUP(B6,Data!$AA$4:$AD$24,4,FALSE),Data!Q86:R96,2,FALSE)))*(AM6/(IF(AD6="LVL",500,350)))^0.8/AS6</f>
        <v>3030.4788095992858</v>
      </c>
      <c r="AV6" s="46">
        <f>0.4*AO6*(AI6-G6)*AH6+MIN(AU6,AL6)/4</f>
        <v>2822.4741612833163</v>
      </c>
      <c r="AW6" s="46">
        <f>1.15*SQRT(2*AK6*AO6*AH6)+MIN(1.15*SQRT(2*AK6*AO6*AH6),MIN(AL6,AU6)/4)</f>
        <v>1938.9655675321919</v>
      </c>
      <c r="AX6" s="46">
        <f>MIN(AV6,AW6)</f>
        <v>1938.9655675321919</v>
      </c>
      <c r="AY6" s="46">
        <f>AF6*AX6</f>
        <v>1938.9655675321919</v>
      </c>
      <c r="AZ6" s="44">
        <f>VLOOKUP(VLOOKUP(B6,Data!$AA$4:$AD$24,4,FALSE),Data!$I$4:$S$15,8,FALSE)*E6</f>
        <v>10.6</v>
      </c>
      <c r="BA6" s="46">
        <f>(MAX(0.9*AF6,AF6^0.9)*1.25*AU6)/SQRT(2)</f>
        <v>2678.5901456372389</v>
      </c>
      <c r="BB6" s="46">
        <f>VLOOKUP(VLOOKUP(B6,Data!$AA$4:$AD$24,4,FALSE),Data!$I$4:$S$15,9,FALSE)*1000*(E6)</f>
        <v>30000</v>
      </c>
      <c r="BC6" s="47">
        <f>MIN(AC6,BA6,BB6*0.5)/1000</f>
        <v>2.678590145637239</v>
      </c>
    </row>
    <row r="7" spans="2:55" ht="51.95" customHeight="1" thickBot="1" x14ac:dyDescent="0.25">
      <c r="Y7" s="53" t="s">
        <v>242</v>
      </c>
    </row>
    <row r="8" spans="2:55" ht="14.25" x14ac:dyDescent="0.2">
      <c r="G8">
        <f>G6</f>
        <v>7</v>
      </c>
      <c r="H8" t="str">
        <f t="shared" ref="H8:P8" si="0">H6</f>
        <v>GL22h</v>
      </c>
      <c r="I8" t="str">
        <f t="shared" si="0"/>
        <v>LBS Ø 7 x 80</v>
      </c>
      <c r="J8">
        <f t="shared" si="0"/>
        <v>6</v>
      </c>
      <c r="K8">
        <f t="shared" si="0"/>
        <v>7</v>
      </c>
      <c r="L8">
        <f t="shared" si="0"/>
        <v>80</v>
      </c>
      <c r="M8">
        <f t="shared" si="0"/>
        <v>75</v>
      </c>
      <c r="N8">
        <f t="shared" si="0"/>
        <v>14174</v>
      </c>
      <c r="O8">
        <f t="shared" si="0"/>
        <v>19200</v>
      </c>
      <c r="P8">
        <f t="shared" si="0"/>
        <v>370</v>
      </c>
      <c r="Q8">
        <f>L13</f>
        <v>0</v>
      </c>
      <c r="R8" s="160">
        <f>R6</f>
        <v>6.7693373198801936</v>
      </c>
      <c r="S8" s="44">
        <f>IF(H8="LVL",0.5,0.3)</f>
        <v>0.3</v>
      </c>
      <c r="T8" s="44">
        <f>IF(H8="LVL",0.5,0.7)</f>
        <v>0.7</v>
      </c>
      <c r="U8" s="45">
        <f>IF(Q8&lt;45,S8+T8*Q8/45,1)</f>
        <v>0.3</v>
      </c>
      <c r="V8" s="43">
        <v>0</v>
      </c>
      <c r="W8" s="43">
        <f>IF(H8="LVL",1.5*COS(RADIANS(V8))^2+SIN(RADIANS(V8))^2,1)</f>
        <v>1</v>
      </c>
      <c r="X8" s="43">
        <f>IF(H8="LVL",15,11.7)</f>
        <v>11.7</v>
      </c>
      <c r="Y8" s="46">
        <f>IF(H8="CLT",20*K8^(0.8)*MIN(M8,L8-G8)^(0.9),U8*X8*K8*MIN(M8,(L8-G8))*(P8/(IF(H8="LVL",500,350)))^(0.8)/W8)</f>
        <v>1875.1454497677414</v>
      </c>
    </row>
    <row r="11" spans="2:55" x14ac:dyDescent="0.2">
      <c r="H11" s="441" t="s">
        <v>250</v>
      </c>
      <c r="I11" s="441"/>
      <c r="J11" s="441"/>
      <c r="K11" s="441"/>
      <c r="AD11" s="441" t="s">
        <v>250</v>
      </c>
      <c r="AE11" s="441"/>
      <c r="AF11" s="441"/>
      <c r="AG11" s="441"/>
    </row>
    <row r="12" spans="2:55" ht="29.25" thickBot="1" x14ac:dyDescent="0.25">
      <c r="I12" t="s">
        <v>249</v>
      </c>
      <c r="J12" t="s">
        <v>248</v>
      </c>
      <c r="L12" s="53" t="s">
        <v>110</v>
      </c>
      <c r="AE12" t="s">
        <v>249</v>
      </c>
      <c r="AF12" t="s">
        <v>248</v>
      </c>
      <c r="AH12" s="53" t="s">
        <v>110</v>
      </c>
    </row>
    <row r="13" spans="2:55" ht="14.25" x14ac:dyDescent="0.2">
      <c r="H13" t="s">
        <v>247</v>
      </c>
      <c r="I13">
        <f>0.082*P6*K6^(-0.3)/((2.5*COS(RADIANS(L13))^2+SIN(RADIANS(L13))^2))</f>
        <v>6.7693373198801936</v>
      </c>
      <c r="J13">
        <f>0.082*P6*(1-0.01*K6)/((2.5*COS(RADIANS(L13))^2+SIN(RADIANS(L13))^2))</f>
        <v>11.286479999999999</v>
      </c>
      <c r="L13" s="43">
        <f>ABS('LOCK-T'!H86)</f>
        <v>0</v>
      </c>
      <c r="AD13" t="s">
        <v>247</v>
      </c>
      <c r="AE13">
        <f>0.082*AM6*AH6^(-0.3)/((2.5*COS(RADIANS(AH13))^2+SIN(RADIANS(AH13))^2))</f>
        <v>19.479759046070704</v>
      </c>
      <c r="AF13">
        <f>0.082*AM6*(1-0.01*AH6)/((2.5*COS(RADIANS(AH13))^2+SIN(RADIANS(AH13))^2))</f>
        <v>29.991499999999998</v>
      </c>
      <c r="AH13" s="43">
        <f>AN6</f>
        <v>90</v>
      </c>
    </row>
    <row r="15" spans="2:55" x14ac:dyDescent="0.2">
      <c r="H15" t="s">
        <v>2</v>
      </c>
      <c r="I15">
        <f>0.082*P6*K6^(-0.3)/((2.5*COS(RADIANS(L13))^2+SIN(RADIANS(L13))^2)*(1.5*COS(RADIANS(V6))^2+SIN(RADIANS(V6))^2))</f>
        <v>4.512891546586796</v>
      </c>
      <c r="J15">
        <f>0.082*P6*(1-0.01*K6)/((2.5*COS(RADIANS(L13))^2+SIN(RADIANS(L13))^2)*(1.5*COS(RADIANS(V6))^2+SIN(RADIANS(V6))^2))</f>
        <v>7.5243199999999995</v>
      </c>
      <c r="AD15" t="s">
        <v>2</v>
      </c>
      <c r="AE15">
        <f>0.082*AM6*AH6^(-0.3)/((2.5*COS(RADIANS(AH13))^2+SIN(RADIANS(AH13))^2)*(1.5*COS(RADIANS(AG6))^2+SIN(RADIANS(AG6))^2))</f>
        <v>12.986506030713803</v>
      </c>
      <c r="AF15">
        <f>0.082*AM6*(1-0.01*AH6)/((2.5*COS(RADIANS(AH13))^2+SIN(RADIANS(AH13))^2)*(1.5*COS(RADIANS(AG6))^2+SIN(RADIANS(AG6))^2))</f>
        <v>19.994333333333334</v>
      </c>
    </row>
    <row r="17" spans="8:46" x14ac:dyDescent="0.2">
      <c r="H17" t="s">
        <v>6</v>
      </c>
      <c r="I17">
        <f>IF(L13=0,20*K6^(-0.5),0.082*P6*K6^(-0.3)/((2.5*COS(RADIANS(L13))^2+SIN(RADIANS(L13))^2)))</f>
        <v>7.5592894601845444</v>
      </c>
      <c r="AD17" t="s">
        <v>6</v>
      </c>
      <c r="AE17">
        <f>IF(AH13=0,20*AH6^(-0.5),0.082*AM6*AH6^(-0.3)/((2.5*COS(RADIANS(AH13))^2+SIN(RADIANS(AH13))^2)))</f>
        <v>19.479759046070704</v>
      </c>
    </row>
    <row r="23" spans="8:46" ht="14.25" x14ac:dyDescent="0.25">
      <c r="AT23" t="s">
        <v>330</v>
      </c>
    </row>
  </sheetData>
  <sheetProtection algorithmName="SHA-512" hashValue="+DLHzm2S4q5bXyT5q7BVWQh0H9QmxO2SLTLOgFpjgN5lQydD3VPknXIVHYRDV6h3V8fPFklQgMB3v6I81dt2sw==" saltValue="wUkdAy3X47Pm6R9SfGzRWw==" spinCount="100000" sheet="1" objects="1" scenarios="1" selectLockedCells="1"/>
  <mergeCells count="6">
    <mergeCell ref="B2:E2"/>
    <mergeCell ref="B4:G4"/>
    <mergeCell ref="H4:AC4"/>
    <mergeCell ref="AD4:BA4"/>
    <mergeCell ref="H11:K11"/>
    <mergeCell ref="AD11:AG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14109A2-2201-41A4-B321-F681461FD34C}">
          <x14:formula1>
            <xm:f>Data!$B$4:$B$34</xm:f>
          </x14:formula1>
          <xm:sqref>H6 AD6</xm:sqref>
        </x14:dataValidation>
        <x14:dataValidation type="list" allowBlank="1" showInputMessage="1" showErrorMessage="1" xr:uid="{21E112D4-2BAB-4C73-B059-AB96D67BCDCB}">
          <x14:formula1>
            <xm:f>Screws!$C$6:$C$29</xm:f>
          </x14:formula1>
          <xm:sqref>I6 AE6</xm:sqref>
        </x14:dataValidation>
        <x14:dataValidation type="list" allowBlank="1" showInputMessage="1" showErrorMessage="1" xr:uid="{C898CDDE-99F3-45B8-8A4E-2F3E06190275}">
          <x14:formula1>
            <xm:f>Data!$W$3:$W$12</xm:f>
          </x14:formula1>
          <xm:sqref>E6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72D2F-9419-42F1-84BE-988B4BDFFC7B}">
  <sheetPr codeName="Foglio11">
    <tabColor rgb="FF00B050"/>
  </sheetPr>
  <dimension ref="B2:BA17"/>
  <sheetViews>
    <sheetView showGridLines="0"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6" width="10.625" customWidth="1" outlineLevel="1"/>
    <col min="27" max="27" width="13.375" customWidth="1" outlineLevel="1"/>
    <col min="28" max="29" width="10.625" customWidth="1"/>
    <col min="30" max="30" width="28.25" bestFit="1" customWidth="1"/>
    <col min="31" max="31" width="11.75" customWidth="1"/>
    <col min="32" max="32" width="10.625" customWidth="1"/>
    <col min="33" max="47" width="10.625" customWidth="1" outlineLevel="1"/>
    <col min="48" max="51" width="14" customWidth="1" outlineLevel="1"/>
    <col min="52" max="53" width="15.625" customWidth="1"/>
  </cols>
  <sheetData>
    <row r="2" spans="2:53"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3" ht="13.5" thickBot="1" x14ac:dyDescent="0.25"/>
    <row r="4" spans="2:53"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40" t="s">
        <v>88</v>
      </c>
      <c r="AD4" s="440"/>
      <c r="AE4" s="440"/>
      <c r="AF4" s="440"/>
      <c r="AG4" s="440"/>
      <c r="AH4" s="440"/>
      <c r="AI4" s="440"/>
      <c r="AJ4" s="440"/>
      <c r="AK4" s="440"/>
      <c r="AL4" s="440"/>
      <c r="AM4" s="440"/>
      <c r="AN4" s="440"/>
      <c r="AO4" s="440"/>
      <c r="AP4" s="440"/>
      <c r="AQ4" s="440"/>
      <c r="AR4" s="440"/>
      <c r="AS4" s="440"/>
      <c r="AT4" s="440"/>
      <c r="AU4" s="440"/>
      <c r="AV4" s="440"/>
      <c r="AW4" s="103"/>
      <c r="AX4" s="48"/>
      <c r="AY4" s="48"/>
      <c r="AZ4" s="48" t="s">
        <v>89</v>
      </c>
      <c r="BA4" s="49" t="s">
        <v>7</v>
      </c>
    </row>
    <row r="5" spans="2:53"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151</v>
      </c>
      <c r="AA5" s="109" t="s">
        <v>153</v>
      </c>
      <c r="AB5" s="109" t="s">
        <v>154</v>
      </c>
      <c r="AC5" s="28" t="s">
        <v>95</v>
      </c>
      <c r="AD5" s="28" t="s">
        <v>96</v>
      </c>
      <c r="AE5" s="28" t="s">
        <v>97</v>
      </c>
      <c r="AF5" s="28" t="s">
        <v>123</v>
      </c>
      <c r="AG5" s="28" t="s">
        <v>98</v>
      </c>
      <c r="AH5" s="28" t="s">
        <v>99</v>
      </c>
      <c r="AI5" s="28" t="s">
        <v>100</v>
      </c>
      <c r="AJ5" s="28" t="s">
        <v>101</v>
      </c>
      <c r="AK5" s="28" t="s">
        <v>102</v>
      </c>
      <c r="AL5" s="28" t="s">
        <v>103</v>
      </c>
      <c r="AM5" s="28" t="s">
        <v>110</v>
      </c>
      <c r="AN5" s="28" t="s">
        <v>104</v>
      </c>
      <c r="AO5" s="28" t="s">
        <v>111</v>
      </c>
      <c r="AP5" s="28" t="s">
        <v>112</v>
      </c>
      <c r="AQ5" s="28" t="s">
        <v>113</v>
      </c>
      <c r="AR5" s="28" t="s">
        <v>114</v>
      </c>
      <c r="AS5" s="28" t="s">
        <v>115</v>
      </c>
      <c r="AT5" s="28" t="s">
        <v>116</v>
      </c>
      <c r="AU5" s="28" t="s">
        <v>151</v>
      </c>
      <c r="AV5" s="109" t="s">
        <v>156</v>
      </c>
      <c r="AW5" s="109" t="s">
        <v>155</v>
      </c>
      <c r="AX5" s="109" t="s">
        <v>228</v>
      </c>
      <c r="AY5" s="109" t="s">
        <v>229</v>
      </c>
      <c r="AZ5" s="51" t="s">
        <v>152</v>
      </c>
      <c r="BA5" s="109" t="s">
        <v>230</v>
      </c>
    </row>
    <row r="6" spans="2:53"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3">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L13</f>
        <v>0</v>
      </c>
      <c r="R6" s="179">
        <f>IF(H6="LVL",J15,IF(H6="CLT",I17,IF(P6&gt;420,J13,I13)))</f>
        <v>6.7693373198801936</v>
      </c>
      <c r="S6" s="44">
        <f>IF(H6="LVL",0.5,0.3)</f>
        <v>0.3</v>
      </c>
      <c r="T6" s="44">
        <f>IF(H6="LVL",0.5,0.7)</f>
        <v>0.7</v>
      </c>
      <c r="U6" s="45">
        <f>IF(Q6&lt;45,S6+T6*Q6/45,1)</f>
        <v>0.3</v>
      </c>
      <c r="V6" s="43">
        <v>0</v>
      </c>
      <c r="W6" s="43">
        <f>IF(H6="LVL",1.5*COS(RADIANS(V6))^2+SIN(RADIANS(V6))^2,1)</f>
        <v>1</v>
      </c>
      <c r="X6" s="43">
        <f>IF(H6="LVL",15,11.7)</f>
        <v>11.7</v>
      </c>
      <c r="Y6" s="46">
        <f>IF(H6="CLT",20*K6^(0.8)*MIN(M6,L6-G6)^(0.9),U6*X6*K6*MIN(M6,(L6-G6))*(P6/(IF(H6="LVL",500,350)))^(0.8)/W6)</f>
        <v>1849.4585257983201</v>
      </c>
      <c r="Z6" s="44">
        <f>VLOOKUP(VLOOKUP(B6,Data!$AA$4:$AD$24,4,FALSE),Data!$I$4:$S$15,11,FALSE)</f>
        <v>0.55000000000000004</v>
      </c>
      <c r="AA6" s="46">
        <f>Y6/Z6</f>
        <v>3362.6518650878543</v>
      </c>
      <c r="AB6" s="46">
        <f>VLOOKUP(I6,Screws!$C$6:$J$34,8,FALSE)</f>
        <v>19200</v>
      </c>
      <c r="AC6" s="42" t="str">
        <f>'LOCK-T'!H71</f>
        <v>GL24h</v>
      </c>
      <c r="AD6" s="42" t="str">
        <f>'LOCK-T'!H111</f>
        <v>LBS Ø 7 x 80</v>
      </c>
      <c r="AE6" s="43">
        <f>VLOOKUP(VLOOKUP(B6,Data!$AA$4:$AD$24,4,FALSE),Data!$I$4:$S$15,5,FALSE)*E6</f>
        <v>36</v>
      </c>
      <c r="AF6" s="42">
        <v>0</v>
      </c>
      <c r="AG6" s="43">
        <f>VLOOKUP(AD6,Screws!$C$6:$J$34,3,FALSE)</f>
        <v>7</v>
      </c>
      <c r="AH6" s="43">
        <f>VLOOKUP(AD6,Screws!$C$6:$J$34,5,FALSE)</f>
        <v>80</v>
      </c>
      <c r="AI6" s="43">
        <f>VLOOKUP(AD6,Screws!$C$6:$J$34,6,FALSE)</f>
        <v>75</v>
      </c>
      <c r="AJ6" s="43">
        <f>VLOOKUP(AD6,Screws!$C$6:$J$34,7,FALSE)</f>
        <v>14174</v>
      </c>
      <c r="AK6" s="43">
        <f>VLOOKUP(AD6,Screws!$C$6:$J$34,8,FALSE)</f>
        <v>19200</v>
      </c>
      <c r="AL6" s="43">
        <f>VLOOKUP(AC6,Data!$B$4:$C$36,2,FALSE)</f>
        <v>385</v>
      </c>
      <c r="AM6" s="43">
        <v>90</v>
      </c>
      <c r="AN6" s="179">
        <f>IF('LOCK-T'!H72='LOCK-T'!AA54,IF(AC6="LVL",AE15,IF(AL6&gt;420,AE13,AE13)),IF(AC6="LVL",AE15,IF(AC6="CLT",AD17,IF(AL6&gt;420,AE13,AD13))))</f>
        <v>17.609424784823478</v>
      </c>
      <c r="AO6" s="44">
        <f>IF(AC6="LVL",0.5,0.3)</f>
        <v>0.3</v>
      </c>
      <c r="AP6" s="44">
        <f>IF(AC6="LVL",0.5,0.7)</f>
        <v>0.7</v>
      </c>
      <c r="AQ6" s="45">
        <f>IF(AM6&lt;45,AO6+AP6*AM6/45,1)</f>
        <v>1</v>
      </c>
      <c r="AR6" s="43">
        <f>IF(AC6="LVL",1.5*COS(RADIANS(AF6))^2+SIN(RADIANS(AF6))^2,1)</f>
        <v>1</v>
      </c>
      <c r="AS6" s="43">
        <f>IF(AC6="LVL",15,11.7)</f>
        <v>11.7</v>
      </c>
      <c r="AT6" s="46">
        <f>AQ6*AS6*AG6*MIN(AI6,AH6-G6)*(AL6/(IF(AC6="LVL",500,350)))^0.8/AR6</f>
        <v>6364.0055001584997</v>
      </c>
      <c r="AU6" s="44">
        <f>VLOOKUP(VLOOKUP(B6,Data!$AA$4:$AD$24,4,FALSE),Data!$I$4:$S$15,11,FALSE)</f>
        <v>0.55000000000000004</v>
      </c>
      <c r="AV6" s="46">
        <f>AT6/AU6</f>
        <v>11570.919091197271</v>
      </c>
      <c r="AW6" s="46">
        <f>VLOOKUP(AD6,Screws!$C$6:$J$34,8,FALSE)</f>
        <v>19200</v>
      </c>
      <c r="AX6" s="46">
        <f>E6*MIN(AV6,AW6)</f>
        <v>46283.676364789084</v>
      </c>
      <c r="AY6" s="46">
        <f>E6*MIN(AA6,AB6)</f>
        <v>13450.607460351417</v>
      </c>
      <c r="AZ6" s="46">
        <f>E6*VLOOKUP(VLOOKUP(B6,Data!$AA$4:$AD$24,4,FALSE),Data!$I$4:$S$15,10,FALSE)*1000</f>
        <v>11200</v>
      </c>
      <c r="BA6" s="47">
        <f>MIN(AZ6,AX6,AY6)/1000</f>
        <v>11.2</v>
      </c>
    </row>
    <row r="9" spans="2:53" ht="10.5" customHeight="1" x14ac:dyDescent="0.2"/>
    <row r="11" spans="2:53" x14ac:dyDescent="0.2">
      <c r="H11" s="441" t="s">
        <v>250</v>
      </c>
      <c r="I11" s="441"/>
      <c r="J11" s="441"/>
      <c r="K11" s="441"/>
      <c r="AC11" s="441" t="s">
        <v>250</v>
      </c>
      <c r="AD11" s="441"/>
      <c r="AE11" s="441"/>
      <c r="AF11" s="441"/>
    </row>
    <row r="12" spans="2:53" ht="29.25" thickBot="1" x14ac:dyDescent="0.25">
      <c r="I12" t="s">
        <v>249</v>
      </c>
      <c r="J12" t="s">
        <v>248</v>
      </c>
      <c r="L12" s="53" t="s">
        <v>110</v>
      </c>
      <c r="AD12" t="s">
        <v>249</v>
      </c>
      <c r="AE12" t="s">
        <v>248</v>
      </c>
      <c r="AG12" s="53" t="s">
        <v>110</v>
      </c>
    </row>
    <row r="13" spans="2:53" ht="14.25" x14ac:dyDescent="0.2">
      <c r="H13" t="s">
        <v>247</v>
      </c>
      <c r="I13">
        <f>0.082*P6*K6^(-0.3)/((2.5*COS(RADIANS(L13))^2+SIN(RADIANS(L13))^2))</f>
        <v>6.7693373198801936</v>
      </c>
      <c r="J13">
        <f>0.082*P6*(1-0.01*K6)/((2.5*COS(RADIANS(L13))^2+SIN(RADIANS(L13))^2))</f>
        <v>11.286479999999999</v>
      </c>
      <c r="L13" s="43">
        <f>ABS('LOCK-T'!H86)</f>
        <v>0</v>
      </c>
      <c r="AC13" t="s">
        <v>247</v>
      </c>
      <c r="AD13">
        <f>0.082*AL6*AG6^(-0.3)/((2.5*COS(RADIANS(AG13))^2+SIN(RADIANS(AG13))^2))</f>
        <v>17.609424784823478</v>
      </c>
      <c r="AE13">
        <f>0.082*AL6*(1-0.01*AG6)/((2.5*COS(RADIANS(AG13))^2+SIN(RADIANS(AG13))^2))</f>
        <v>29.360099999999999</v>
      </c>
      <c r="AG13" s="43">
        <v>90</v>
      </c>
    </row>
    <row r="15" spans="2:53" x14ac:dyDescent="0.2">
      <c r="H15" t="s">
        <v>2</v>
      </c>
      <c r="I15">
        <f>0.082*P6*K6^(-0.3)/((2.5*COS(RADIANS(L13))^2+SIN(RADIANS(L13))^2)*(1.5*COS(RADIANS(V6))^2+SIN(RADIANS(V6))^2))</f>
        <v>4.512891546586796</v>
      </c>
      <c r="J15">
        <f>0.082*P6*(1-0.01*K6)/((2.5*COS(RADIANS(L13))^2+SIN(RADIANS(L13))^2)*(1.5*COS(RADIANS(V6))^2+SIN(RADIANS(V6))^2))</f>
        <v>7.5243199999999995</v>
      </c>
      <c r="AC15" t="s">
        <v>2</v>
      </c>
      <c r="AD15">
        <f>0.082*AL6*AG6^(-0.3)/((2.5*COS(RADIANS(AG13))^2+SIN(RADIANS(AG13))^2)*(1.5*COS(RADIANS(AF6))^2+SIN(RADIANS(AF6))^2))</f>
        <v>11.739616523215652</v>
      </c>
      <c r="AE15">
        <f>0.082*AL6*(1-0.01*AG6)/((2.5*COS(RADIANS(AG13))^2+SIN(RADIANS(AG13))^2)*(1.5*COS(RADIANS(AF6))^2+SIN(RADIANS(AF6))^2))</f>
        <v>19.573399999999999</v>
      </c>
    </row>
    <row r="17" spans="8:30" x14ac:dyDescent="0.2">
      <c r="H17" t="s">
        <v>6</v>
      </c>
      <c r="I17">
        <f>IF(L13=0,20*K6^(-0.5),0.082*P6*K6^(-0.3)/((2.5*COS(RADIANS(L13))^2+SIN(RADIANS(L13))^2)))</f>
        <v>7.5592894601845444</v>
      </c>
      <c r="AC17" t="s">
        <v>6</v>
      </c>
      <c r="AD17">
        <f>IF(AG13=0,20*AG6^(-0.5),0.082*AL6*AG6^(-0.3)/((2.5*COS(RADIANS(AG13))^2+SIN(RADIANS(AG13))^2)))</f>
        <v>17.609424784823478</v>
      </c>
    </row>
  </sheetData>
  <sheetProtection algorithmName="SHA-512" hashValue="+gDm2XtfHEdfhXkhBt8oOeE7+XLqbTN+WXGpEcK3B5ss7O9EJtzlOOeA9FCG0Y4TMSVSXBb0e77012Ip1u3cnw==" saltValue="e4yijrrEab9XIdzH7+Ozcg==" spinCount="100000" sheet="1" objects="1" scenarios="1" selectLockedCells="1"/>
  <mergeCells count="6">
    <mergeCell ref="B2:E2"/>
    <mergeCell ref="B4:G4"/>
    <mergeCell ref="H4:AB4"/>
    <mergeCell ref="AC4:AV4"/>
    <mergeCell ref="H11:K11"/>
    <mergeCell ref="AC11:AF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EFB75EA-98F3-4E4E-BAA8-C6646E47292B}">
          <x14:formula1>
            <xm:f>Data!$I$4:$I$12</xm:f>
          </x14:formula1>
          <xm:sqref>B6</xm:sqref>
        </x14:dataValidation>
        <x14:dataValidation type="list" allowBlank="1" showInputMessage="1" showErrorMessage="1" xr:uid="{C7B12B92-94A4-4F65-B751-F099B5504712}">
          <x14:formula1>
            <xm:f>Data!$W$3:$W$12</xm:f>
          </x14:formula1>
          <xm:sqref>E6</xm:sqref>
        </x14:dataValidation>
        <x14:dataValidation type="list" allowBlank="1" showInputMessage="1" showErrorMessage="1" xr:uid="{36AB3E34-9B21-4C18-AE3F-ECB8783C103A}">
          <x14:formula1>
            <xm:f>Screws!$C$6:$C$29</xm:f>
          </x14:formula1>
          <xm:sqref>I6 AD6</xm:sqref>
        </x14:dataValidation>
        <x14:dataValidation type="list" allowBlank="1" showInputMessage="1" showErrorMessage="1" xr:uid="{E37E9D53-00A5-42ED-BC6D-67188E51B9F9}">
          <x14:formula1>
            <xm:f>Data!$B$4:$B$34</xm:f>
          </x14:formula1>
          <xm:sqref>H6 AC6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01651-4DA3-4D1D-8C30-285784C8C3D2}">
  <sheetPr codeName="Foglio12">
    <tabColor rgb="FFF9ADAD"/>
  </sheetPr>
  <dimension ref="B2:BA17"/>
  <sheetViews>
    <sheetView showGridLines="0"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6" width="10.625" customWidth="1" outlineLevel="1"/>
    <col min="27" max="27" width="13.375" customWidth="1" outlineLevel="1"/>
    <col min="28" max="29" width="10.625" customWidth="1"/>
    <col min="30" max="30" width="28.25" bestFit="1" customWidth="1"/>
    <col min="31" max="31" width="11.75" customWidth="1"/>
    <col min="32" max="32" width="10.625" customWidth="1"/>
    <col min="33" max="47" width="10.625" customWidth="1" outlineLevel="1"/>
    <col min="48" max="51" width="14" customWidth="1" outlineLevel="1"/>
    <col min="52" max="53" width="15.625" customWidth="1"/>
  </cols>
  <sheetData>
    <row r="2" spans="2:53"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3" ht="13.5" thickBot="1" x14ac:dyDescent="0.25"/>
    <row r="4" spans="2:53"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40" t="s">
        <v>88</v>
      </c>
      <c r="AD4" s="440"/>
      <c r="AE4" s="440"/>
      <c r="AF4" s="440"/>
      <c r="AG4" s="440"/>
      <c r="AH4" s="440"/>
      <c r="AI4" s="440"/>
      <c r="AJ4" s="440"/>
      <c r="AK4" s="440"/>
      <c r="AL4" s="440"/>
      <c r="AM4" s="440"/>
      <c r="AN4" s="440"/>
      <c r="AO4" s="440"/>
      <c r="AP4" s="440"/>
      <c r="AQ4" s="440"/>
      <c r="AR4" s="440"/>
      <c r="AS4" s="440"/>
      <c r="AT4" s="440"/>
      <c r="AU4" s="440"/>
      <c r="AV4" s="440"/>
      <c r="AW4" s="103"/>
      <c r="AX4" s="48"/>
      <c r="AY4" s="48"/>
      <c r="AZ4" s="48" t="s">
        <v>89</v>
      </c>
      <c r="BA4" s="49" t="s">
        <v>7</v>
      </c>
    </row>
    <row r="5" spans="2:53"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151</v>
      </c>
      <c r="AA5" s="109" t="s">
        <v>153</v>
      </c>
      <c r="AB5" s="109" t="s">
        <v>154</v>
      </c>
      <c r="AC5" s="28" t="s">
        <v>95</v>
      </c>
      <c r="AD5" s="28" t="s">
        <v>96</v>
      </c>
      <c r="AE5" s="28" t="s">
        <v>97</v>
      </c>
      <c r="AF5" s="28" t="s">
        <v>123</v>
      </c>
      <c r="AG5" s="28" t="s">
        <v>98</v>
      </c>
      <c r="AH5" s="28" t="s">
        <v>99</v>
      </c>
      <c r="AI5" s="28" t="s">
        <v>100</v>
      </c>
      <c r="AJ5" s="28" t="s">
        <v>101</v>
      </c>
      <c r="AK5" s="28" t="s">
        <v>102</v>
      </c>
      <c r="AL5" s="28" t="s">
        <v>103</v>
      </c>
      <c r="AM5" s="28" t="s">
        <v>110</v>
      </c>
      <c r="AN5" s="28" t="s">
        <v>104</v>
      </c>
      <c r="AO5" s="28" t="s">
        <v>111</v>
      </c>
      <c r="AP5" s="28" t="s">
        <v>112</v>
      </c>
      <c r="AQ5" s="28" t="s">
        <v>113</v>
      </c>
      <c r="AR5" s="28" t="s">
        <v>114</v>
      </c>
      <c r="AS5" s="28" t="s">
        <v>115</v>
      </c>
      <c r="AT5" s="28" t="s">
        <v>116</v>
      </c>
      <c r="AU5" s="28" t="s">
        <v>151</v>
      </c>
      <c r="AV5" s="109" t="s">
        <v>156</v>
      </c>
      <c r="AW5" s="109" t="s">
        <v>155</v>
      </c>
      <c r="AX5" s="109" t="s">
        <v>228</v>
      </c>
      <c r="AY5" s="109" t="s">
        <v>229</v>
      </c>
      <c r="AZ5" s="51" t="s">
        <v>152</v>
      </c>
      <c r="BA5" s="109" t="s">
        <v>230</v>
      </c>
    </row>
    <row r="6" spans="2:53"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3">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L13</f>
        <v>0</v>
      </c>
      <c r="R6" s="179">
        <f>IF(H6="LVL",J15,IF(H6="CLT",I17,IF(P6&gt;420,J13,I13)))</f>
        <v>6.7693373198801936</v>
      </c>
      <c r="S6" s="44">
        <f>IF(H6="LVL",0.5,0.3)</f>
        <v>0.3</v>
      </c>
      <c r="T6" s="44">
        <f>IF(H6="LVL",0.5,0.7)</f>
        <v>0.7</v>
      </c>
      <c r="U6" s="45">
        <f>IF(Q6&lt;45,S6+T6*Q6/45,1)</f>
        <v>0.3</v>
      </c>
      <c r="V6" s="43">
        <v>0</v>
      </c>
      <c r="W6" s="43">
        <f>IF(H6="LVL",1.5*COS(RADIANS(V6))^2+SIN(RADIANS(V6))^2,1)</f>
        <v>1</v>
      </c>
      <c r="X6" s="43">
        <f>IF(H6="LVL",15,11.7)</f>
        <v>11.7</v>
      </c>
      <c r="Y6" s="46">
        <f>IF(H6="CLT",20*K6^(0.8)*MIN(M6,L6-G6)^(0.9),U6*X6*K6*MIN(M6,(L6-G6))*(P6/(IF(H6="LVL",500,350)))^(0.8)/W6)</f>
        <v>1875.1454497677414</v>
      </c>
      <c r="Z6" s="44">
        <f>VLOOKUP(VLOOKUP(B6,Data!$AA$4:$AD$24,4,FALSE),Data!$I$4:$S$15,11,FALSE)</f>
        <v>0.65</v>
      </c>
      <c r="AA6" s="46">
        <f>Y6/Z6</f>
        <v>2884.8391534888328</v>
      </c>
      <c r="AB6" s="46">
        <f>VLOOKUP(I6,Screws!$C$6:$J$34,8,FALSE)</f>
        <v>19200</v>
      </c>
      <c r="AC6" s="42" t="str">
        <f>'LOCK-T'!H71</f>
        <v>GL24h</v>
      </c>
      <c r="AD6" s="42" t="str">
        <f>'LOCK-T'!I111</f>
        <v>LBS Ø 7 x 80</v>
      </c>
      <c r="AE6" s="43">
        <f>VLOOKUP(VLOOKUP(B6,Data!$AA$4:$AD$24,4,FALSE),Data!$I$4:$S$15,5,FALSE)*E6</f>
        <v>6</v>
      </c>
      <c r="AF6" s="42">
        <v>0</v>
      </c>
      <c r="AG6" s="43">
        <f>VLOOKUP(AD6,Screws!$C$6:$J$34,3,FALSE)</f>
        <v>7</v>
      </c>
      <c r="AH6" s="43">
        <f>VLOOKUP(AD6,Screws!$C$6:$J$34,5,FALSE)</f>
        <v>80</v>
      </c>
      <c r="AI6" s="43">
        <f>VLOOKUP(AD6,Screws!$C$6:$J$34,6,FALSE)</f>
        <v>75</v>
      </c>
      <c r="AJ6" s="43">
        <f>VLOOKUP(AD6,Screws!$C$6:$J$34,7,FALSE)</f>
        <v>14174</v>
      </c>
      <c r="AK6" s="43">
        <f>VLOOKUP(AD6,Screws!$C$6:$J$34,8,FALSE)</f>
        <v>19200</v>
      </c>
      <c r="AL6" s="43">
        <f>VLOOKUP(AC6,Data!$B$4:$C$36,2,FALSE)</f>
        <v>385</v>
      </c>
      <c r="AM6" s="43">
        <v>90</v>
      </c>
      <c r="AN6" s="179">
        <f>IF('LOCK-T'!H72='LOCK-T'!AA54,IF(AC6="LVL",AE15,IF(AL6&gt;420,AE13,AE13)),IF(AC6="LVL",AE15,IF(AC6="CLT",AD17,IF(AL6&gt;420,AE13,AD13))))</f>
        <v>17.609424784823478</v>
      </c>
      <c r="AO6" s="44">
        <f>IF(AC6="LVL",0.5,0.3)</f>
        <v>0.3</v>
      </c>
      <c r="AP6" s="44">
        <f>IF(AC6="LVL",0.5,0.7)</f>
        <v>0.7</v>
      </c>
      <c r="AQ6" s="45">
        <f>IF(AM6&lt;45,AO6+AP6*AM6/45,1)</f>
        <v>1</v>
      </c>
      <c r="AR6" s="43">
        <f>IF(AC6="LVL",1.5*COS(RADIANS(AF6))^2+SIN(RADIANS(AF6))^2,1)</f>
        <v>1</v>
      </c>
      <c r="AS6" s="43">
        <f>IF(AC6="LVL",15,11.7)</f>
        <v>11.7</v>
      </c>
      <c r="AT6" s="46">
        <f>AQ6*AS6*AG6*MIN(AI6,AH6-G6)*(AL6/(IF(AC6="LVL",500,350)))^0.8/AR6</f>
        <v>6452.3944654384795</v>
      </c>
      <c r="AU6" s="44">
        <f>VLOOKUP(VLOOKUP(B6,Data!$AA$4:$AD$24,4,FALSE),Data!$I$4:$S$15,11,FALSE)</f>
        <v>0.65</v>
      </c>
      <c r="AV6" s="46">
        <f>AT6/AU6</f>
        <v>9926.7607160591997</v>
      </c>
      <c r="AW6" s="46">
        <f>VLOOKUP(AD6,Screws!$C$6:$J$34,8,FALSE)</f>
        <v>19200</v>
      </c>
      <c r="AX6" s="46">
        <f>E6*MIN(AV6,AW6)</f>
        <v>19853.521432118399</v>
      </c>
      <c r="AY6" s="46">
        <f>E6*MIN(AA6,AB6)</f>
        <v>5769.6783069776657</v>
      </c>
      <c r="AZ6" s="46">
        <f>E6*VLOOKUP(VLOOKUP(B6,Data!$AA$4:$AD$24,4,FALSE),Data!$I$4:$S$15,10,FALSE)*1000</f>
        <v>5400</v>
      </c>
      <c r="BA6" s="47">
        <f>MIN(AZ6,AX6,AY6)/1000</f>
        <v>5.4</v>
      </c>
    </row>
    <row r="9" spans="2:53" ht="10.5" customHeight="1" x14ac:dyDescent="0.2"/>
    <row r="11" spans="2:53" x14ac:dyDescent="0.2">
      <c r="H11" s="441" t="s">
        <v>250</v>
      </c>
      <c r="I11" s="441"/>
      <c r="J11" s="441"/>
      <c r="K11" s="441"/>
      <c r="AC11" s="441" t="s">
        <v>250</v>
      </c>
      <c r="AD11" s="441"/>
      <c r="AE11" s="441"/>
      <c r="AF11" s="441"/>
    </row>
    <row r="12" spans="2:53" ht="29.25" thickBot="1" x14ac:dyDescent="0.25">
      <c r="I12" t="s">
        <v>249</v>
      </c>
      <c r="J12" t="s">
        <v>248</v>
      </c>
      <c r="L12" s="53" t="s">
        <v>110</v>
      </c>
      <c r="AD12" t="s">
        <v>249</v>
      </c>
      <c r="AE12" t="s">
        <v>248</v>
      </c>
      <c r="AG12" s="53" t="s">
        <v>110</v>
      </c>
    </row>
    <row r="13" spans="2:53" ht="14.25" x14ac:dyDescent="0.2">
      <c r="H13" t="s">
        <v>247</v>
      </c>
      <c r="I13">
        <f>0.082*P6*K6^(-0.3)/((2.5*COS(RADIANS(L13))^2+SIN(RADIANS(L13))^2))</f>
        <v>6.7693373198801936</v>
      </c>
      <c r="J13">
        <f>0.082*P6*(1-0.01*K6)/((2.5*COS(RADIANS(L13))^2+SIN(RADIANS(L13))^2))</f>
        <v>11.286479999999999</v>
      </c>
      <c r="L13" s="43">
        <f>ABS('LOCK-T'!H86)</f>
        <v>0</v>
      </c>
      <c r="AC13" t="s">
        <v>247</v>
      </c>
      <c r="AD13">
        <f>0.082*AL6*AG6^(-0.3)/((2.5*COS(RADIANS(AG13))^2+SIN(RADIANS(AG13))^2))</f>
        <v>17.609424784823478</v>
      </c>
      <c r="AE13">
        <f>0.082*AL6*(1-0.01*AG6)/((2.5*COS(RADIANS(AG13))^2+SIN(RADIANS(AG13))^2))</f>
        <v>29.360099999999999</v>
      </c>
      <c r="AG13" s="43">
        <v>90</v>
      </c>
    </row>
    <row r="15" spans="2:53" x14ac:dyDescent="0.2">
      <c r="H15" t="s">
        <v>2</v>
      </c>
      <c r="I15">
        <f>0.082*P6*K6^(-0.3)/((2.5*COS(RADIANS(L13))^2+SIN(RADIANS(L13))^2)*(1.5*COS(RADIANS(V6))^2+SIN(RADIANS(V6))^2))</f>
        <v>4.512891546586796</v>
      </c>
      <c r="J15">
        <f>0.082*P6*(1-0.01*K6)/((2.5*COS(RADIANS(L13))^2+SIN(RADIANS(L13))^2)*(1.5*COS(RADIANS(V6))^2+SIN(RADIANS(V6))^2))</f>
        <v>7.5243199999999995</v>
      </c>
      <c r="AC15" t="s">
        <v>2</v>
      </c>
      <c r="AD15">
        <f>0.082*AL6*AG6^(-0.3)/((2.5*COS(RADIANS(AG13))^2+SIN(RADIANS(AG13))^2)*(1.5*COS(RADIANS(AF6))^2+SIN(RADIANS(AF6))^2))</f>
        <v>11.739616523215652</v>
      </c>
      <c r="AE15">
        <f>0.082*AL6*(1-0.01*AG6)/((2.5*COS(RADIANS(AG13))^2+SIN(RADIANS(AG13))^2)*(1.5*COS(RADIANS(AF6))^2+SIN(RADIANS(AF6))^2))</f>
        <v>19.573399999999999</v>
      </c>
    </row>
    <row r="17" spans="8:30" x14ac:dyDescent="0.2">
      <c r="H17" t="s">
        <v>6</v>
      </c>
      <c r="I17">
        <f>IF(L13=0,20*K6^(-0.5),0.082*P6*K6^(-0.3)/((2.5*COS(RADIANS(L13))^2+SIN(RADIANS(L13))^2)))</f>
        <v>7.5592894601845444</v>
      </c>
      <c r="AC17" t="s">
        <v>6</v>
      </c>
      <c r="AD17">
        <f>IF(AG13=0,20*AG6^(-0.5),0.082*AL6*AG6^(-0.3)/((2.5*COS(RADIANS(AG13))^2+SIN(RADIANS(AG13))^2)))</f>
        <v>17.609424784823478</v>
      </c>
    </row>
  </sheetData>
  <sheetProtection algorithmName="SHA-512" hashValue="v+HyRSBXHzSOTveuRj0K/SsUCmG6CTPYH2l3hHAtHgcRaM6p5wJB+7wCh1X37MIhPJYAVlnFTcf4NTqf4F8yNg==" saltValue="/Hy9+FP5plou7ldZ23G4kA==" spinCount="100000" sheet="1" objects="1" scenarios="1" selectLockedCells="1"/>
  <mergeCells count="6">
    <mergeCell ref="B2:E2"/>
    <mergeCell ref="B4:G4"/>
    <mergeCell ref="H4:AB4"/>
    <mergeCell ref="AC4:AV4"/>
    <mergeCell ref="H11:K11"/>
    <mergeCell ref="AC11:AF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CF8AB6D-B702-48A4-9198-A249F4111394}">
          <x14:formula1>
            <xm:f>Data!$B$4:$B$34</xm:f>
          </x14:formula1>
          <xm:sqref>H6 AC6</xm:sqref>
        </x14:dataValidation>
        <x14:dataValidation type="list" allowBlank="1" showInputMessage="1" showErrorMessage="1" xr:uid="{032A0BAB-5604-47B0-A1C6-43D30D4586FF}">
          <x14:formula1>
            <xm:f>Screws!$C$6:$C$29</xm:f>
          </x14:formula1>
          <xm:sqref>I6 AD6</xm:sqref>
        </x14:dataValidation>
        <x14:dataValidation type="list" allowBlank="1" showInputMessage="1" showErrorMessage="1" xr:uid="{F0284544-2680-485C-BB97-E475F5BFD494}">
          <x14:formula1>
            <xm:f>Data!$W$3:$W$12</xm:f>
          </x14:formula1>
          <xm:sqref>E6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559F7-8565-4158-912D-B3FACB3E232E}">
  <sheetPr codeName="Foglio4">
    <tabColor rgb="FFFFC000"/>
    <pageSetUpPr fitToPage="1"/>
  </sheetPr>
  <dimension ref="A1:AZ300"/>
  <sheetViews>
    <sheetView showGridLines="0" showRowColHeaders="0" showRuler="0" showWhiteSpace="0" view="pageBreakPreview" topLeftCell="C1" zoomScale="85" zoomScaleNormal="100" zoomScaleSheetLayoutView="85" zoomScalePageLayoutView="55" workbookViewId="0">
      <selection activeCell="H239" sqref="H239"/>
    </sheetView>
  </sheetViews>
  <sheetFormatPr defaultColWidth="15.625" defaultRowHeight="20.100000000000001" customHeight="1" x14ac:dyDescent="0.2"/>
  <cols>
    <col min="1" max="2" width="15.625" style="99" hidden="1" customWidth="1"/>
    <col min="3" max="3" width="15.625" style="99"/>
    <col min="4" max="4" width="2.625" style="99" customWidth="1"/>
    <col min="5" max="5" width="57.5" style="99" bestFit="1" customWidth="1"/>
    <col min="6" max="6" width="9.375" style="99" bestFit="1" customWidth="1"/>
    <col min="7" max="7" width="10.625" style="99" bestFit="1" customWidth="1"/>
    <col min="8" max="8" width="27.25" style="101" bestFit="1" customWidth="1"/>
    <col min="9" max="9" width="27.25" style="101" customWidth="1"/>
    <col min="10" max="10" width="2.625" style="99" customWidth="1"/>
    <col min="11" max="13" width="15.625" style="99" customWidth="1"/>
    <col min="14" max="14" width="2.625" style="99" customWidth="1"/>
    <col min="15" max="15" width="15.625" style="99" customWidth="1"/>
    <col min="16" max="32" width="15.625" style="99" hidden="1" customWidth="1"/>
    <col min="33" max="33" width="22" style="99" hidden="1" customWidth="1"/>
    <col min="34" max="52" width="15.625" style="99" hidden="1" customWidth="1"/>
    <col min="53" max="63" width="15.625" style="99" customWidth="1"/>
    <col min="64" max="16384" width="15.625" style="99"/>
  </cols>
  <sheetData>
    <row r="1" spans="4:14" ht="20.100000000000001" customHeight="1" thickBot="1" x14ac:dyDescent="0.25"/>
    <row r="2" spans="4:14" ht="20.100000000000001" customHeight="1" x14ac:dyDescent="0.2">
      <c r="D2" s="271"/>
      <c r="E2" s="403" t="str">
        <f>Translation!B17</f>
        <v>PORCENTAJE DE USO DE LA CONEXIÓN</v>
      </c>
      <c r="F2" s="403"/>
      <c r="G2" s="403"/>
      <c r="H2" s="403"/>
      <c r="I2" s="403"/>
      <c r="J2" s="403"/>
      <c r="K2" s="403"/>
      <c r="L2" s="403"/>
      <c r="M2" s="403"/>
      <c r="N2" s="272"/>
    </row>
    <row r="3" spans="4:14" ht="20.100000000000001" customHeight="1" x14ac:dyDescent="0.2">
      <c r="D3" s="273"/>
      <c r="E3" s="274" t="str">
        <f>Translation!B18</f>
        <v>6.1 Corte vertical (Fv)</v>
      </c>
      <c r="F3" s="406">
        <f>H185</f>
        <v>6.8988172282819782E-2</v>
      </c>
      <c r="G3" s="406"/>
      <c r="H3" s="406"/>
      <c r="I3" s="274" t="str">
        <f>Translation!B21</f>
        <v>6.3 Axial (Fax)</v>
      </c>
      <c r="J3" s="406">
        <f>H216</f>
        <v>0.24162477490924331</v>
      </c>
      <c r="K3" s="406"/>
      <c r="L3" s="406"/>
      <c r="M3" s="406"/>
      <c r="N3" s="276"/>
    </row>
    <row r="4" spans="4:14" ht="20.100000000000001" customHeight="1" x14ac:dyDescent="0.2">
      <c r="D4" s="273"/>
      <c r="E4" s="274" t="str">
        <f>Translation!B19</f>
        <v>6.2 Corte elevación (Fup)</v>
      </c>
      <c r="F4" s="406">
        <f>IF(H141="NO","-",H204)</f>
        <v>0.22468978795883335</v>
      </c>
      <c r="G4" s="406"/>
      <c r="H4" s="406"/>
      <c r="I4" s="274" t="str">
        <f>Translation!B22</f>
        <v>6.4 Corte lateral (Flat)</v>
      </c>
      <c r="J4" s="406">
        <f>H229</f>
        <v>3.4811482433590404E-2</v>
      </c>
      <c r="K4" s="406"/>
      <c r="L4" s="406"/>
      <c r="M4" s="406"/>
      <c r="N4" s="276"/>
    </row>
    <row r="5" spans="4:14" ht="20.100000000000001" customHeight="1" x14ac:dyDescent="0.2">
      <c r="D5" s="273"/>
      <c r="E5" s="274" t="str">
        <f>Translation!B20</f>
        <v>7. Solicitación combinada</v>
      </c>
      <c r="F5" s="406">
        <f>H242</f>
        <v>6.3141899764866519E-2</v>
      </c>
      <c r="G5" s="406"/>
      <c r="H5" s="406"/>
      <c r="I5" s="274"/>
      <c r="J5" s="275"/>
      <c r="K5" s="277"/>
      <c r="L5" s="278"/>
      <c r="M5" s="278"/>
      <c r="N5" s="276"/>
    </row>
    <row r="6" spans="4:14" ht="9.9499999999999993" customHeight="1" thickBot="1" x14ac:dyDescent="0.25">
      <c r="D6" s="279"/>
      <c r="E6" s="280"/>
      <c r="F6" s="280"/>
      <c r="G6" s="280"/>
      <c r="H6" s="404"/>
      <c r="I6" s="404"/>
      <c r="J6" s="405"/>
      <c r="K6" s="405"/>
      <c r="L6" s="280"/>
      <c r="M6" s="280"/>
      <c r="N6" s="281"/>
    </row>
    <row r="7" spans="4:14" ht="20.100000000000001" hidden="1" customHeight="1" thickBot="1" x14ac:dyDescent="0.25"/>
    <row r="8" spans="4:14" ht="20.100000000000001" customHeight="1" x14ac:dyDescent="0.2">
      <c r="D8" s="187"/>
      <c r="E8" s="188"/>
      <c r="F8" s="188"/>
      <c r="G8" s="188"/>
      <c r="H8" s="188"/>
      <c r="I8" s="188"/>
      <c r="J8" s="188"/>
      <c r="K8" s="188"/>
      <c r="L8" s="189"/>
      <c r="M8" s="189"/>
      <c r="N8" s="210"/>
    </row>
    <row r="9" spans="4:14" ht="20.100000000000001" customHeight="1" x14ac:dyDescent="0.2">
      <c r="D9" s="190"/>
      <c r="E9" s="192"/>
      <c r="F9" s="192"/>
      <c r="G9" s="192"/>
      <c r="H9" s="192"/>
      <c r="I9" s="192"/>
      <c r="J9" s="192"/>
      <c r="K9" s="192"/>
      <c r="L9" s="193"/>
      <c r="M9" s="193"/>
      <c r="N9" s="211"/>
    </row>
    <row r="10" spans="4:14" ht="20.100000000000001" customHeight="1" x14ac:dyDescent="0.2">
      <c r="D10" s="190"/>
      <c r="E10" s="192"/>
      <c r="F10" s="192"/>
      <c r="G10" s="192"/>
      <c r="H10" s="192"/>
      <c r="I10" s="192"/>
      <c r="J10" s="192"/>
      <c r="K10" s="192"/>
      <c r="L10" s="193"/>
      <c r="M10" s="193"/>
      <c r="N10" s="211"/>
    </row>
    <row r="11" spans="4:14" ht="20.100000000000001" customHeight="1" x14ac:dyDescent="0.2">
      <c r="D11" s="190"/>
      <c r="E11" s="192"/>
      <c r="F11" s="192"/>
      <c r="G11" s="192"/>
      <c r="H11" s="193"/>
      <c r="I11" s="193"/>
      <c r="J11" s="193"/>
      <c r="K11" s="194"/>
      <c r="L11" s="194"/>
      <c r="M11" s="195" t="s">
        <v>1342</v>
      </c>
      <c r="N11" s="211"/>
    </row>
    <row r="12" spans="4:14" ht="9.9499999999999993" customHeight="1" x14ac:dyDescent="0.2">
      <c r="D12" s="390" t="str">
        <f>Translation!B23</f>
        <v>CÁLCULO CONECTOR OCULTO DE CONEXIÓN MADERA-MADERA LOCK-T</v>
      </c>
      <c r="E12" s="391"/>
      <c r="F12" s="391"/>
      <c r="G12" s="391"/>
      <c r="H12" s="391"/>
      <c r="I12" s="391"/>
      <c r="J12" s="391"/>
      <c r="K12" s="391"/>
      <c r="L12" s="391"/>
      <c r="M12" s="391"/>
      <c r="N12" s="224"/>
    </row>
    <row r="13" spans="4:14" ht="9.9499999999999993" customHeight="1" x14ac:dyDescent="0.2">
      <c r="D13" s="390"/>
      <c r="E13" s="391"/>
      <c r="F13" s="391"/>
      <c r="G13" s="391"/>
      <c r="H13" s="391"/>
      <c r="I13" s="391"/>
      <c r="J13" s="391"/>
      <c r="K13" s="391"/>
      <c r="L13" s="391"/>
      <c r="M13" s="391"/>
      <c r="N13" s="224"/>
    </row>
    <row r="14" spans="4:14" ht="9.9499999999999993" customHeight="1" x14ac:dyDescent="0.2">
      <c r="D14" s="390"/>
      <c r="E14" s="391"/>
      <c r="F14" s="391"/>
      <c r="G14" s="391"/>
      <c r="H14" s="391"/>
      <c r="I14" s="391"/>
      <c r="J14" s="391"/>
      <c r="K14" s="391"/>
      <c r="L14" s="391"/>
      <c r="M14" s="391"/>
      <c r="N14" s="224"/>
    </row>
    <row r="15" spans="4:14" ht="9.9499999999999993" customHeight="1" x14ac:dyDescent="0.2">
      <c r="D15" s="225"/>
      <c r="E15" s="226"/>
      <c r="F15" s="226"/>
      <c r="G15" s="226"/>
      <c r="H15" s="226"/>
      <c r="I15" s="226"/>
      <c r="J15" s="226"/>
      <c r="K15" s="226"/>
      <c r="L15" s="226"/>
      <c r="M15" s="226"/>
      <c r="N15" s="224"/>
    </row>
    <row r="16" spans="4:14" ht="20.100000000000001" customHeight="1" x14ac:dyDescent="0.2">
      <c r="D16" s="225"/>
      <c r="E16" s="226"/>
      <c r="F16" s="226"/>
      <c r="G16" s="226"/>
      <c r="H16" s="226"/>
      <c r="I16" s="226"/>
      <c r="J16" s="226"/>
      <c r="K16" s="226"/>
      <c r="L16" s="226"/>
      <c r="M16" s="226"/>
      <c r="N16" s="224"/>
    </row>
    <row r="17" spans="4:14" ht="20.100000000000001" customHeight="1" x14ac:dyDescent="0.2">
      <c r="D17" s="225"/>
      <c r="E17" s="226"/>
      <c r="F17" s="226"/>
      <c r="G17" s="226"/>
      <c r="H17" s="226"/>
      <c r="I17" s="226"/>
      <c r="J17" s="226"/>
      <c r="K17" s="226"/>
      <c r="L17" s="226"/>
      <c r="M17" s="226"/>
      <c r="N17" s="224"/>
    </row>
    <row r="18" spans="4:14" ht="20.100000000000001" customHeight="1" x14ac:dyDescent="0.2">
      <c r="D18" s="225"/>
      <c r="E18" s="226"/>
      <c r="F18" s="226"/>
      <c r="G18" s="227"/>
      <c r="H18" s="226"/>
      <c r="I18" s="226"/>
      <c r="J18" s="226"/>
      <c r="K18" s="226"/>
      <c r="L18" s="226"/>
      <c r="M18" s="226"/>
      <c r="N18" s="224"/>
    </row>
    <row r="19" spans="4:14" ht="20.100000000000001" customHeight="1" x14ac:dyDescent="0.2">
      <c r="D19" s="225"/>
      <c r="E19" s="226"/>
      <c r="F19" s="226"/>
      <c r="G19" s="226"/>
      <c r="H19" s="226"/>
      <c r="I19" s="226"/>
      <c r="J19" s="226"/>
      <c r="K19" s="226"/>
      <c r="L19" s="226"/>
      <c r="M19" s="226"/>
      <c r="N19" s="224"/>
    </row>
    <row r="20" spans="4:14" ht="20.100000000000001" customHeight="1" x14ac:dyDescent="0.2">
      <c r="D20" s="225"/>
      <c r="E20" s="226"/>
      <c r="F20" s="226"/>
      <c r="G20" s="226"/>
      <c r="H20" s="226"/>
      <c r="I20" s="226"/>
      <c r="J20" s="226"/>
      <c r="K20" s="226"/>
      <c r="L20" s="226"/>
      <c r="M20" s="226"/>
      <c r="N20" s="224"/>
    </row>
    <row r="21" spans="4:14" ht="20.100000000000001" customHeight="1" x14ac:dyDescent="0.2">
      <c r="D21" s="225"/>
      <c r="E21" s="226"/>
      <c r="F21" s="226"/>
      <c r="G21" s="226"/>
      <c r="H21" s="226"/>
      <c r="I21" s="226"/>
      <c r="J21" s="226"/>
      <c r="K21" s="226"/>
      <c r="L21" s="226"/>
      <c r="M21" s="226"/>
      <c r="N21" s="224"/>
    </row>
    <row r="22" spans="4:14" ht="20.100000000000001" customHeight="1" x14ac:dyDescent="0.2">
      <c r="D22" s="225"/>
      <c r="E22" s="226"/>
      <c r="F22" s="226"/>
      <c r="G22" s="226"/>
      <c r="H22" s="226"/>
      <c r="I22" s="226"/>
      <c r="J22" s="226"/>
      <c r="K22" s="226"/>
      <c r="L22" s="226"/>
      <c r="M22" s="226"/>
      <c r="N22" s="224"/>
    </row>
    <row r="23" spans="4:14" ht="20.100000000000001" customHeight="1" x14ac:dyDescent="0.2">
      <c r="D23" s="225"/>
      <c r="E23" s="226"/>
      <c r="F23" s="226"/>
      <c r="G23" s="226"/>
      <c r="H23" s="226"/>
      <c r="I23" s="226"/>
      <c r="J23" s="226"/>
      <c r="K23" s="226"/>
      <c r="L23" s="226"/>
      <c r="M23" s="226"/>
      <c r="N23" s="224"/>
    </row>
    <row r="24" spans="4:14" ht="20.100000000000001" customHeight="1" x14ac:dyDescent="0.2">
      <c r="D24" s="225"/>
      <c r="E24" s="226"/>
      <c r="F24" s="226"/>
      <c r="G24" s="226"/>
      <c r="H24" s="226"/>
      <c r="I24" s="226"/>
      <c r="J24" s="226"/>
      <c r="K24" s="226"/>
      <c r="L24" s="226"/>
      <c r="M24" s="226"/>
      <c r="N24" s="224"/>
    </row>
    <row r="25" spans="4:14" ht="20.100000000000001" customHeight="1" x14ac:dyDescent="0.2">
      <c r="D25" s="225"/>
      <c r="E25" s="226"/>
      <c r="F25" s="226"/>
      <c r="G25" s="226"/>
      <c r="H25" s="226"/>
      <c r="I25" s="226"/>
      <c r="J25" s="226"/>
      <c r="K25" s="226"/>
      <c r="L25" s="226"/>
      <c r="M25" s="226"/>
      <c r="N25" s="224"/>
    </row>
    <row r="26" spans="4:14" ht="20.100000000000001" customHeight="1" x14ac:dyDescent="0.2">
      <c r="D26" s="225"/>
      <c r="E26" s="226"/>
      <c r="F26" s="226"/>
      <c r="G26" s="226"/>
      <c r="H26" s="226"/>
      <c r="I26" s="226"/>
      <c r="J26" s="226"/>
      <c r="K26" s="226"/>
      <c r="L26" s="226"/>
      <c r="M26" s="226"/>
      <c r="N26" s="224"/>
    </row>
    <row r="27" spans="4:14" ht="20.100000000000001" customHeight="1" x14ac:dyDescent="0.2">
      <c r="D27" s="225"/>
      <c r="E27" s="226"/>
      <c r="F27" s="226"/>
      <c r="G27" s="226"/>
      <c r="H27" s="226"/>
      <c r="I27" s="226"/>
      <c r="J27" s="226"/>
      <c r="K27" s="226"/>
      <c r="L27" s="226"/>
      <c r="M27" s="226"/>
      <c r="N27" s="224"/>
    </row>
    <row r="28" spans="4:14" ht="20.100000000000001" customHeight="1" x14ac:dyDescent="0.2">
      <c r="D28" s="225"/>
      <c r="E28" s="226"/>
      <c r="F28" s="226"/>
      <c r="G28" s="226"/>
      <c r="H28" s="226"/>
      <c r="I28" s="226"/>
      <c r="J28" s="226"/>
      <c r="K28" s="226"/>
      <c r="L28" s="226"/>
      <c r="M28" s="226"/>
      <c r="N28" s="224"/>
    </row>
    <row r="29" spans="4:14" ht="20.100000000000001" customHeight="1" x14ac:dyDescent="0.2">
      <c r="D29" s="225"/>
      <c r="E29" s="226"/>
      <c r="F29" s="226"/>
      <c r="G29" s="226"/>
      <c r="H29" s="226"/>
      <c r="I29" s="226"/>
      <c r="J29" s="226"/>
      <c r="K29" s="226"/>
      <c r="L29" s="226"/>
      <c r="M29" s="226"/>
      <c r="N29" s="224"/>
    </row>
    <row r="30" spans="4:14" ht="9.9499999999999993" customHeight="1" x14ac:dyDescent="0.2">
      <c r="D30" s="225"/>
      <c r="E30" s="226"/>
      <c r="F30" s="226"/>
      <c r="G30" s="226"/>
      <c r="H30" s="226"/>
      <c r="I30" s="226"/>
      <c r="J30" s="226"/>
      <c r="K30" s="226"/>
      <c r="L30" s="226"/>
      <c r="M30" s="226"/>
      <c r="N30" s="224"/>
    </row>
    <row r="31" spans="4:14" ht="9.9499999999999993" customHeight="1" x14ac:dyDescent="0.2">
      <c r="D31" s="183"/>
      <c r="N31" s="184"/>
    </row>
    <row r="32" spans="4:14" ht="30" customHeight="1" x14ac:dyDescent="0.2">
      <c r="D32" s="183"/>
      <c r="E32" s="221" t="str">
        <f>Translation!B24</f>
        <v xml:space="preserve">1. Información general </v>
      </c>
      <c r="F32" s="222"/>
      <c r="G32" s="222"/>
      <c r="H32" s="223"/>
      <c r="I32" s="223"/>
      <c r="J32" s="222"/>
      <c r="K32" s="222"/>
      <c r="L32" s="222"/>
      <c r="M32" s="222"/>
      <c r="N32" s="184"/>
    </row>
    <row r="33" spans="4:24" ht="9.9499999999999993" customHeight="1" x14ac:dyDescent="0.2">
      <c r="D33" s="183"/>
      <c r="N33" s="184"/>
    </row>
    <row r="34" spans="4:24" ht="20.100000000000001" customHeight="1" x14ac:dyDescent="0.2">
      <c r="D34" s="183"/>
      <c r="E34" s="197" t="str">
        <f>Translation!B25</f>
        <v>Fecha</v>
      </c>
      <c r="F34" s="396">
        <f ca="1">TODAY()</f>
        <v>45481</v>
      </c>
      <c r="G34" s="396"/>
      <c r="H34" s="396"/>
      <c r="I34" s="238"/>
      <c r="L34" s="407"/>
      <c r="M34" s="401" t="s">
        <v>518</v>
      </c>
      <c r="N34" s="184"/>
    </row>
    <row r="35" spans="4:24" ht="20.100000000000001" customHeight="1" x14ac:dyDescent="0.2">
      <c r="D35" s="183"/>
      <c r="E35" s="197" t="str">
        <f>Translation!B26</f>
        <v>Técnico comercial RothoBlaas</v>
      </c>
      <c r="F35" s="397" t="s">
        <v>486</v>
      </c>
      <c r="G35" s="398"/>
      <c r="H35" s="399"/>
      <c r="I35" s="238"/>
      <c r="L35" s="408"/>
      <c r="M35" s="402"/>
      <c r="N35" s="184"/>
    </row>
    <row r="36" spans="4:24" ht="20.100000000000001" customHeight="1" x14ac:dyDescent="0.2">
      <c r="D36" s="183"/>
      <c r="E36" s="197" t="str">
        <f>Translation!B27</f>
        <v>Proyecto</v>
      </c>
      <c r="F36" s="397" t="s">
        <v>486</v>
      </c>
      <c r="G36" s="398"/>
      <c r="H36" s="399"/>
      <c r="I36" s="236"/>
      <c r="N36" s="184"/>
    </row>
    <row r="37" spans="4:24" ht="20.100000000000001" customHeight="1" x14ac:dyDescent="0.2">
      <c r="D37" s="183"/>
      <c r="E37" s="197" t="str">
        <f>Translation!B28</f>
        <v>Proyectista</v>
      </c>
      <c r="F37" s="397" t="s">
        <v>486</v>
      </c>
      <c r="G37" s="398"/>
      <c r="H37" s="399"/>
      <c r="I37" s="236"/>
      <c r="L37" s="323"/>
      <c r="M37" s="321"/>
      <c r="N37" s="184"/>
      <c r="X37" s="99" t="s">
        <v>337</v>
      </c>
    </row>
    <row r="38" spans="4:24" ht="9.9499999999999993" customHeight="1" x14ac:dyDescent="0.2">
      <c r="D38" s="183"/>
      <c r="F38" s="400"/>
      <c r="G38" s="400"/>
      <c r="H38" s="400"/>
      <c r="I38" s="236"/>
      <c r="L38" s="325"/>
      <c r="M38" s="326"/>
      <c r="N38" s="184"/>
      <c r="X38" s="99" t="s">
        <v>338</v>
      </c>
    </row>
    <row r="39" spans="4:24" ht="20.100000000000001" customHeight="1" x14ac:dyDescent="0.2">
      <c r="D39" s="183"/>
      <c r="E39" s="197" t="str">
        <f>Translation!B29</f>
        <v>Norma de cálculo</v>
      </c>
      <c r="F39" s="397" t="s">
        <v>338</v>
      </c>
      <c r="G39" s="398"/>
      <c r="H39" s="399"/>
      <c r="I39" s="236"/>
      <c r="L39" s="324"/>
      <c r="M39" s="322"/>
      <c r="N39" s="184"/>
    </row>
    <row r="40" spans="4:24" ht="20.100000000000001" customHeight="1" x14ac:dyDescent="0.2">
      <c r="D40" s="183"/>
      <c r="E40" s="197" t="str">
        <f>Translation!B30</f>
        <v>Unión n°</v>
      </c>
      <c r="F40" s="397" t="s">
        <v>486</v>
      </c>
      <c r="G40" s="398"/>
      <c r="H40" s="399"/>
      <c r="I40" s="236"/>
      <c r="N40" s="184"/>
    </row>
    <row r="41" spans="4:24" ht="60" customHeight="1" x14ac:dyDescent="0.2">
      <c r="D41" s="183"/>
      <c r="E41" s="197" t="str">
        <f>Translation!B31</f>
        <v>Notas</v>
      </c>
      <c r="F41" s="397" t="s">
        <v>486</v>
      </c>
      <c r="G41" s="398"/>
      <c r="H41" s="399"/>
      <c r="I41" s="236"/>
      <c r="N41" s="184"/>
    </row>
    <row r="42" spans="4:24" ht="9.9499999999999993" customHeight="1" x14ac:dyDescent="0.2">
      <c r="D42" s="183"/>
      <c r="N42" s="184"/>
    </row>
    <row r="43" spans="4:24" ht="30" customHeight="1" x14ac:dyDescent="0.2">
      <c r="D43" s="183"/>
      <c r="E43" s="221" t="str">
        <f>Translation!B121</f>
        <v>2. Combinaciones</v>
      </c>
      <c r="F43" s="221"/>
      <c r="G43" s="221"/>
      <c r="H43" s="221"/>
      <c r="I43" s="221"/>
      <c r="J43" s="221"/>
      <c r="K43" s="221"/>
      <c r="L43" s="221"/>
      <c r="M43" s="221"/>
      <c r="N43" s="184"/>
    </row>
    <row r="44" spans="4:24" ht="9.9499999999999993" customHeight="1" x14ac:dyDescent="0.2">
      <c r="D44" s="183"/>
      <c r="N44" s="184"/>
    </row>
    <row r="45" spans="4:24" ht="60" customHeight="1" x14ac:dyDescent="0.2">
      <c r="D45" s="183"/>
      <c r="E45" s="99" t="str">
        <f>Translation!B122</f>
        <v>Clases de servicio</v>
      </c>
      <c r="H45" s="297">
        <v>1</v>
      </c>
      <c r="I45" s="393" t="str">
        <f>VLOOKUP(H45,Foglio2!A17:B19,2,FALSE)</f>
        <v>Se caracteriza por una humedad del material en equilibrio con el ambiente a una temperatura de 20°C y una humedad relativa del aire circundante que no supera el 65%, si no durante unas semanas al año.</v>
      </c>
      <c r="J45" s="394"/>
      <c r="K45" s="394"/>
      <c r="L45" s="394"/>
      <c r="M45" s="394"/>
      <c r="N45" s="184"/>
    </row>
    <row r="46" spans="4:24" ht="20.100000000000001" customHeight="1" x14ac:dyDescent="0.2">
      <c r="D46" s="183"/>
      <c r="E46" s="99" t="str">
        <f>Translation!B123</f>
        <v xml:space="preserve">Clase de duración de la carga </v>
      </c>
      <c r="F46" s="197"/>
      <c r="H46" s="297" t="s">
        <v>922</v>
      </c>
      <c r="I46" s="393" t="str">
        <f>VLOOKUP(H46,Foglio2!A22:B26,2,FALSE)</f>
        <v>Cargas variables de edificios, excepto las relativas a almacenes y depósitos.</v>
      </c>
      <c r="J46" s="394"/>
      <c r="K46" s="394"/>
      <c r="L46" s="394"/>
      <c r="M46" s="394"/>
      <c r="N46" s="184"/>
    </row>
    <row r="47" spans="4:24" ht="20.100000000000001" customHeight="1" x14ac:dyDescent="0.2">
      <c r="D47" s="183"/>
      <c r="E47" s="99" t="str">
        <f>Translation!B124</f>
        <v>Coeficiente kmod</v>
      </c>
      <c r="F47" s="197" t="s">
        <v>274</v>
      </c>
      <c r="G47" s="197" t="s">
        <v>262</v>
      </c>
      <c r="H47" s="215">
        <f>INDEX(AA181:AF184,MATCH(H45,AA181:AA184,0),MATCH(H46,AA181:AF181,0))</f>
        <v>0.8</v>
      </c>
      <c r="I47" s="202"/>
      <c r="N47" s="184"/>
    </row>
    <row r="48" spans="4:24" ht="20.100000000000001" customHeight="1" x14ac:dyDescent="0.2">
      <c r="D48" s="183"/>
      <c r="F48" s="197"/>
      <c r="H48" s="202"/>
      <c r="I48" s="202"/>
      <c r="N48" s="184"/>
    </row>
    <row r="49" spans="4:33" ht="20.100000000000001" customHeight="1" x14ac:dyDescent="0.2">
      <c r="D49" s="183"/>
      <c r="E49" s="99" t="str">
        <f>Translation!B138</f>
        <v>Producción controlada continuamente (VOC &lt;15%)</v>
      </c>
      <c r="F49" s="197"/>
      <c r="H49" s="297" t="s">
        <v>537</v>
      </c>
      <c r="I49" s="236"/>
      <c r="N49" s="184"/>
    </row>
    <row r="50" spans="4:33" ht="20.100000000000001" customHeight="1" x14ac:dyDescent="0.2">
      <c r="D50" s="183"/>
      <c r="E50" s="99" t="str">
        <f>Translation!B139</f>
        <v>Coeficiente de seguridad conexión</v>
      </c>
      <c r="F50" s="197" t="s">
        <v>275</v>
      </c>
      <c r="G50" s="197" t="s">
        <v>262</v>
      </c>
      <c r="H50" s="215">
        <f>IF(F39=X38,1.3,IF(H49="SI",AC168,AB168))</f>
        <v>1.3</v>
      </c>
      <c r="I50" s="202"/>
      <c r="N50" s="184"/>
    </row>
    <row r="51" spans="4:33" ht="20.100000000000001" customHeight="1" x14ac:dyDescent="0.2">
      <c r="D51" s="183"/>
      <c r="E51" s="99" t="str">
        <f>Translation!B140</f>
        <v>Coeficiente de seguridad aluminio</v>
      </c>
      <c r="F51" s="197" t="s">
        <v>275</v>
      </c>
      <c r="G51" s="197" t="s">
        <v>262</v>
      </c>
      <c r="H51" s="215">
        <v>1.25</v>
      </c>
      <c r="I51" s="202"/>
      <c r="N51" s="184"/>
    </row>
    <row r="52" spans="4:33" ht="20.100000000000001" hidden="1" customHeight="1" x14ac:dyDescent="0.2">
      <c r="D52" s="183"/>
      <c r="E52" s="100"/>
      <c r="F52" s="100"/>
      <c r="G52" s="100"/>
      <c r="N52" s="184"/>
    </row>
    <row r="53" spans="4:33" ht="9.9499999999999993" customHeight="1" x14ac:dyDescent="0.2">
      <c r="D53" s="183"/>
      <c r="E53" s="100"/>
      <c r="F53" s="100"/>
      <c r="G53" s="100"/>
      <c r="N53" s="184"/>
      <c r="AA53" s="99" t="str">
        <f>Translation!B4</f>
        <v>Viga</v>
      </c>
      <c r="AB53" s="99" t="s">
        <v>3</v>
      </c>
    </row>
    <row r="54" spans="4:33" ht="30" customHeight="1" x14ac:dyDescent="0.2">
      <c r="D54" s="183"/>
      <c r="E54" s="221" t="str">
        <f>Translation!B32</f>
        <v xml:space="preserve">3. Solicitaciones de proyecto </v>
      </c>
      <c r="F54" s="222"/>
      <c r="G54" s="222"/>
      <c r="H54" s="223"/>
      <c r="I54" s="223"/>
      <c r="J54" s="222"/>
      <c r="K54" s="222"/>
      <c r="L54" s="222"/>
      <c r="M54" s="222"/>
      <c r="N54" s="184"/>
      <c r="R54" s="240"/>
      <c r="S54" s="240"/>
      <c r="X54" s="99" t="s">
        <v>254</v>
      </c>
      <c r="AA54" s="99" t="str">
        <f>Translation!B5</f>
        <v>Pilar</v>
      </c>
      <c r="AB54" s="99" t="s">
        <v>240</v>
      </c>
    </row>
    <row r="55" spans="4:33" ht="9.9499999999999993" customHeight="1" x14ac:dyDescent="0.2">
      <c r="D55" s="183"/>
      <c r="N55" s="184"/>
      <c r="R55" s="240"/>
      <c r="S55" s="240"/>
      <c r="X55" s="99">
        <f>IF(H72="Trave",VLOOKUP(H111,Screws!C6:G29,5,FALSE),VLOOKUP(H97,Data!AA4:AC24,2,FALSE)+18)</f>
        <v>118</v>
      </c>
    </row>
    <row r="56" spans="4:33" ht="20.100000000000001" customHeight="1" x14ac:dyDescent="0.2">
      <c r="D56" s="183"/>
      <c r="E56" s="99" t="str">
        <f>Translation!B33</f>
        <v>Acción de corte vertical</v>
      </c>
      <c r="F56" s="197" t="s">
        <v>1321</v>
      </c>
      <c r="G56" s="197" t="s">
        <v>258</v>
      </c>
      <c r="H56" s="297">
        <v>4</v>
      </c>
      <c r="I56" s="236"/>
      <c r="N56" s="184"/>
      <c r="X56" s="99">
        <f>IF(H72="Trave",VLOOKUP(H97,Data!AA4:AC24,3,FALSE)+15,VLOOKUP(H111,Screws!C6:G29,5,FALSE))</f>
        <v>80</v>
      </c>
    </row>
    <row r="57" spans="4:33" ht="20.100000000000001" customHeight="1" x14ac:dyDescent="0.2">
      <c r="D57" s="183"/>
      <c r="E57" s="99" t="str">
        <f>Translation!B34</f>
        <v>Acción de corte por elevación</v>
      </c>
      <c r="F57" s="197" t="s">
        <v>1322</v>
      </c>
      <c r="G57" s="197" t="s">
        <v>258</v>
      </c>
      <c r="H57" s="297">
        <v>1</v>
      </c>
      <c r="I57" s="236"/>
      <c r="N57" s="184"/>
    </row>
    <row r="58" spans="4:33" ht="20.100000000000001" customHeight="1" x14ac:dyDescent="0.2">
      <c r="D58" s="183"/>
      <c r="E58" s="99" t="str">
        <f>Translation!B35</f>
        <v>Acción axial</v>
      </c>
      <c r="F58" s="197" t="s">
        <v>1323</v>
      </c>
      <c r="G58" s="197" t="s">
        <v>258</v>
      </c>
      <c r="H58" s="297">
        <v>2</v>
      </c>
      <c r="I58" s="236"/>
      <c r="N58" s="184"/>
    </row>
    <row r="59" spans="4:33" ht="35.1" customHeight="1" x14ac:dyDescent="0.2">
      <c r="D59" s="183"/>
      <c r="E59" s="99" t="str">
        <f>Translation!B36</f>
        <v>Acción lateral</v>
      </c>
      <c r="F59" s="197" t="s">
        <v>1324</v>
      </c>
      <c r="G59" s="197" t="s">
        <v>258</v>
      </c>
      <c r="H59" s="297">
        <v>1</v>
      </c>
      <c r="I59" s="236"/>
      <c r="N59" s="184"/>
      <c r="AA59" s="299"/>
      <c r="AB59" s="99" t="str">
        <f>Translation!B6</f>
        <v>Muescado columna</v>
      </c>
      <c r="AG59" s="299">
        <v>0</v>
      </c>
    </row>
    <row r="60" spans="4:33" ht="20.100000000000001" customHeight="1" x14ac:dyDescent="0.2">
      <c r="D60" s="183"/>
      <c r="N60" s="184"/>
      <c r="AA60" s="299"/>
      <c r="AB60" s="99" t="str">
        <f>Translation!B7</f>
        <v>Muescado viga principal</v>
      </c>
      <c r="AC60" s="99" t="s">
        <v>179</v>
      </c>
      <c r="AE60" s="99" t="str">
        <f>Translation!B6</f>
        <v>Muescado columna</v>
      </c>
      <c r="AF60" s="99" t="s">
        <v>180</v>
      </c>
      <c r="AG60" s="299">
        <v>1</v>
      </c>
    </row>
    <row r="61" spans="4:33" ht="9.9499999999999993" customHeight="1" x14ac:dyDescent="0.2">
      <c r="D61" s="183"/>
      <c r="N61" s="184"/>
      <c r="X61" s="99" t="s">
        <v>255</v>
      </c>
      <c r="AA61" s="299"/>
      <c r="AB61" s="99" t="str">
        <f>Translation!B8</f>
        <v>Muescado viga secundaria</v>
      </c>
      <c r="AC61" s="99" t="s">
        <v>181</v>
      </c>
      <c r="AE61" s="99" t="str">
        <f>Translation!B8</f>
        <v>Muescado viga secundaria</v>
      </c>
      <c r="AF61" s="99" t="s">
        <v>181</v>
      </c>
      <c r="AG61" s="299">
        <v>2</v>
      </c>
    </row>
    <row r="62" spans="4:33" ht="30" customHeight="1" x14ac:dyDescent="0.2">
      <c r="D62" s="183"/>
      <c r="E62" s="221" t="str">
        <f>Translation!B37</f>
        <v>4. Elementos de madera</v>
      </c>
      <c r="F62" s="222"/>
      <c r="G62" s="222"/>
      <c r="H62" s="223"/>
      <c r="I62" s="223"/>
      <c r="J62" s="222"/>
      <c r="K62" s="222"/>
      <c r="L62" s="222"/>
      <c r="M62" s="222"/>
      <c r="N62" s="184"/>
      <c r="R62" s="99">
        <f>INDEX(IF('LOCK-T'!$H$72='LOCK-T'!$AA$54,IF('LOCK-T'!$H$99=1,Foglio2!$B$1:$B$4,Foglio2!$B$49:$B$52),IF('LOCK-T'!$H$99=1,Foglio2!$B$5:$B$9,Foglio2!$B$53:$B$57)),MATCH('LOCK-T'!$H$65,Foglio2!$A$1:$A$8,0))</f>
        <v>0</v>
      </c>
      <c r="X62" s="182">
        <f>VLOOKUP(H97,Data!AA4:AC24,2,FALSE)+26</f>
        <v>126</v>
      </c>
      <c r="AA62" s="299"/>
      <c r="AB62" s="99" t="str">
        <f>Translation!B9</f>
        <v>Tornillos inclinados</v>
      </c>
      <c r="AC62" s="99" t="s">
        <v>215</v>
      </c>
      <c r="AE62" s="99" t="str">
        <f>Translation!B9</f>
        <v>Tornillos inclinados</v>
      </c>
      <c r="AF62" s="99" t="s">
        <v>215</v>
      </c>
      <c r="AG62" s="299">
        <v>3</v>
      </c>
    </row>
    <row r="63" spans="4:33" ht="9.9499999999999993" customHeight="1" x14ac:dyDescent="0.2">
      <c r="D63" s="183"/>
      <c r="N63" s="184"/>
      <c r="P63"/>
      <c r="Q63" s="76"/>
      <c r="R63" s="76"/>
      <c r="S63" s="76"/>
      <c r="T63" s="76"/>
      <c r="X63" s="182">
        <f>VLOOKUP(H97,Data!AA4:AC24,3,FALSE)</f>
        <v>290</v>
      </c>
      <c r="AA63" s="299"/>
      <c r="AB63" s="99" t="s">
        <v>214</v>
      </c>
      <c r="AC63" s="99" t="s">
        <v>214</v>
      </c>
      <c r="AE63" s="99" t="s">
        <v>214</v>
      </c>
      <c r="AF63" s="99" t="s">
        <v>214</v>
      </c>
      <c r="AG63" s="299">
        <v>4</v>
      </c>
    </row>
    <row r="64" spans="4:33" ht="20.100000000000001" hidden="1" customHeight="1" x14ac:dyDescent="0.2">
      <c r="D64" s="183"/>
      <c r="N64" s="184"/>
      <c r="P64"/>
      <c r="Q64" s="76"/>
      <c r="R64" s="76"/>
      <c r="S64" s="76"/>
      <c r="T64" s="76"/>
      <c r="X64" s="182"/>
    </row>
    <row r="65" spans="4:28" ht="20.100000000000001" customHeight="1" x14ac:dyDescent="0.2">
      <c r="D65" s="183"/>
      <c r="E65" s="99" t="str">
        <f>Translation!B107</f>
        <v>Configuración por resistencia lateral</v>
      </c>
      <c r="H65" s="297" t="s">
        <v>553</v>
      </c>
      <c r="N65" s="184"/>
      <c r="P65"/>
      <c r="Q65" s="76"/>
      <c r="R65" s="76" t="s">
        <v>1314</v>
      </c>
      <c r="S65" s="352">
        <f>IF($H$72=AA53,1,0)</f>
        <v>1</v>
      </c>
      <c r="T65" s="76"/>
      <c r="X65" s="182"/>
    </row>
    <row r="66" spans="4:28" ht="9.9499999999999993" customHeight="1" x14ac:dyDescent="0.2">
      <c r="D66" s="183"/>
      <c r="N66" s="184"/>
      <c r="P66"/>
      <c r="Q66" s="76"/>
      <c r="R66" s="76" t="s">
        <v>1315</v>
      </c>
      <c r="S66" s="352">
        <f>IF($H$72=AA54,1,0)</f>
        <v>0</v>
      </c>
      <c r="T66" s="76"/>
      <c r="X66" s="182"/>
    </row>
    <row r="67" spans="4:28" ht="20.100000000000001" customHeight="1" x14ac:dyDescent="0.2">
      <c r="D67" s="183"/>
      <c r="E67" s="198" t="str">
        <f>Translation!B38</f>
        <v>4.1 Elemento principal</v>
      </c>
      <c r="F67" s="409" t="str">
        <f>Translation!B210</f>
        <v>Fresado para carcasa de conector Sf=20 mm</v>
      </c>
      <c r="G67" s="409"/>
      <c r="H67" s="409"/>
      <c r="N67" s="184"/>
      <c r="R67" s="99" t="s">
        <v>1338</v>
      </c>
      <c r="S67" s="100">
        <f>H99</f>
        <v>1</v>
      </c>
    </row>
    <row r="68" spans="4:28" ht="9.9499999999999993" customHeight="1" x14ac:dyDescent="0.2">
      <c r="D68" s="183"/>
      <c r="F68" s="199"/>
      <c r="G68" s="199"/>
      <c r="H68" s="199"/>
      <c r="I68" s="199"/>
      <c r="N68" s="184"/>
      <c r="R68" s="99" t="s">
        <v>1339</v>
      </c>
      <c r="S68" s="100">
        <f>VLOOKUP(H65,AB59:AG63,6,FALSE)</f>
        <v>1</v>
      </c>
    </row>
    <row r="69" spans="4:28" ht="20.100000000000001" customHeight="1" x14ac:dyDescent="0.2">
      <c r="D69" s="183"/>
      <c r="E69" s="99" t="str">
        <f>IF(H72=AA53,Translation!B39,Translation!B40)</f>
        <v>Base de la viga</v>
      </c>
      <c r="F69" s="197" t="str">
        <f>IF(H72=AA53,"Bh","Bs")</f>
        <v>Bh</v>
      </c>
      <c r="G69" s="197" t="s">
        <v>261</v>
      </c>
      <c r="H69" s="297">
        <v>180</v>
      </c>
      <c r="I69" s="410" t="str">
        <f>Translation!B207</f>
        <v>¡¡ elemento demasiado pequeño para el conector seleccionado !!</v>
      </c>
      <c r="J69" s="337"/>
      <c r="K69" s="337"/>
      <c r="L69" s="337"/>
      <c r="M69" s="337"/>
      <c r="N69" s="184"/>
      <c r="R69" s="99" t="s">
        <v>1340</v>
      </c>
      <c r="S69" s="100">
        <f>IF(H98=AB165,0,1)</f>
        <v>1</v>
      </c>
      <c r="AB69" s="99" t="str" cm="1">
        <f t="array" ref="AB69:AB72">IF($H$72=$AA$54,$AE$60:$AE$63,$AB$60:$AB$63)</f>
        <v>Muescado viga principal</v>
      </c>
    </row>
    <row r="70" spans="4:28" ht="20.100000000000001" customHeight="1" x14ac:dyDescent="0.2">
      <c r="D70" s="183"/>
      <c r="E70" s="99" t="str">
        <f>IF(H72=AA53,Translation!B41,Translation!B42)</f>
        <v>Altura de la viga</v>
      </c>
      <c r="F70" s="197" t="str">
        <f>IF(H72=AA53,"Hh","Bh")</f>
        <v>Hh</v>
      </c>
      <c r="G70" s="197" t="s">
        <v>261</v>
      </c>
      <c r="H70" s="297">
        <v>400</v>
      </c>
      <c r="I70" s="410"/>
      <c r="J70" s="337"/>
      <c r="K70" s="337"/>
      <c r="L70" s="337"/>
      <c r="M70" s="337"/>
      <c r="N70" s="184"/>
      <c r="R70" s="99">
        <f>INDEX(Foglio2!$B$5:$B$11,MATCH('LOCK-T'!$H$72,Foglio2!$A$5:$A$11,0))</f>
        <v>0</v>
      </c>
      <c r="X70" s="338" t="s">
        <v>1312</v>
      </c>
      <c r="AB70" s="99" t="str">
        <v>Muescado viga secundaria</v>
      </c>
    </row>
    <row r="71" spans="4:28" ht="20.100000000000001" customHeight="1" x14ac:dyDescent="0.2">
      <c r="D71" s="183"/>
      <c r="E71" s="99" t="str">
        <f>Translation!B43</f>
        <v>Tipo de madera</v>
      </c>
      <c r="F71" s="197" t="s">
        <v>4</v>
      </c>
      <c r="G71" s="197" t="s">
        <v>262</v>
      </c>
      <c r="H71" s="297" t="s">
        <v>1</v>
      </c>
      <c r="I71" s="236"/>
      <c r="K71" s="411"/>
      <c r="L71" s="411"/>
      <c r="M71" s="339"/>
      <c r="N71" s="184"/>
      <c r="R71" s="99">
        <f>INDEX(Foglio2!$B$12:$B$13,MATCH('LOCK-T'!$H$98,Foglio2!$A$12:$A$13,0))</f>
        <v>0</v>
      </c>
      <c r="X71" s="346" t="s">
        <v>1313</v>
      </c>
      <c r="AB71" s="99" t="str">
        <v>Tornillos inclinados</v>
      </c>
    </row>
    <row r="72" spans="4:28" ht="20.100000000000001" customHeight="1" x14ac:dyDescent="0.2">
      <c r="D72" s="183"/>
      <c r="E72" s="99" t="str">
        <f>Translation!B44</f>
        <v>Orientación del elemento principal</v>
      </c>
      <c r="F72" s="197" t="s">
        <v>4</v>
      </c>
      <c r="G72" s="197" t="s">
        <v>262</v>
      </c>
      <c r="H72" s="297" t="s">
        <v>544</v>
      </c>
      <c r="I72" s="236"/>
      <c r="N72" s="184"/>
      <c r="P72" s="197"/>
      <c r="X72" s="99" t="s">
        <v>1314</v>
      </c>
      <c r="AB72" s="99" t="str">
        <v>LOCK STOP</v>
      </c>
    </row>
    <row r="73" spans="4:28" ht="9.9499999999999993" customHeight="1" x14ac:dyDescent="0.2">
      <c r="D73" s="183"/>
      <c r="I73" s="235"/>
      <c r="N73" s="184"/>
    </row>
    <row r="74" spans="4:28" ht="20.100000000000001" customHeight="1" x14ac:dyDescent="0.2">
      <c r="D74" s="183"/>
      <c r="E74" s="266" t="str">
        <f>CONCATENATE(Translation!B46," ",VLOOKUP(H74,Data!$B$4:$H$40,7,FALSE))</f>
        <v>Clase de resistencia para madera  EN 14080:2013</v>
      </c>
      <c r="H74" s="214" t="str">
        <f>H71</f>
        <v>GL24h</v>
      </c>
      <c r="I74" s="409" t="str">
        <f>IF(H72=AA54,Translation!B52,Translation!B53)</f>
        <v>Para tornillos de fijación sobre el elemento de madera con densidad característica ρk&gt;420 kg/m3, el pre-agujero es obligatorio.</v>
      </c>
      <c r="N74" s="184"/>
      <c r="W74" s="99" t="s">
        <v>112</v>
      </c>
      <c r="X74" s="99">
        <f>H117</f>
        <v>80</v>
      </c>
    </row>
    <row r="75" spans="4:28" ht="20.100000000000001" customHeight="1" x14ac:dyDescent="0.2">
      <c r="D75" s="183"/>
      <c r="E75" s="99" t="str">
        <f>Translation!B47</f>
        <v>Densidad característica</v>
      </c>
      <c r="F75" s="197" t="s">
        <v>474</v>
      </c>
      <c r="G75" s="197" t="s">
        <v>300</v>
      </c>
      <c r="H75" s="268">
        <f>VLOOKUP($H$74,Data!$B$4:$G$36,2,FALSE)</f>
        <v>385</v>
      </c>
      <c r="I75" s="409"/>
      <c r="N75" s="184"/>
      <c r="W75" s="99" t="s">
        <v>1319</v>
      </c>
      <c r="X75" s="99">
        <f>H104+IF(H114=6,IF(H104=135,10,5),IF(H104=135,20,15))</f>
        <v>305</v>
      </c>
    </row>
    <row r="76" spans="4:28" ht="30" customHeight="1" x14ac:dyDescent="0.2">
      <c r="D76" s="183"/>
      <c r="E76" s="261" t="str">
        <f>Translation!B48</f>
        <v>Resistencia característica a compresión paralela a la fibra</v>
      </c>
      <c r="F76" s="197" t="s">
        <v>470</v>
      </c>
      <c r="G76" s="197" t="s">
        <v>299</v>
      </c>
      <c r="H76" s="267">
        <f>VLOOKUP($H$74,Data!$B$4:$G$36,3,FALSE)</f>
        <v>24</v>
      </c>
      <c r="I76" s="409"/>
      <c r="N76" s="184"/>
      <c r="X76" s="99" t="s">
        <v>1315</v>
      </c>
    </row>
    <row r="77" spans="4:28" ht="30" customHeight="1" x14ac:dyDescent="0.2">
      <c r="D77" s="183"/>
      <c r="E77" s="261" t="str">
        <f>Translation!B49</f>
        <v>Resistencia característica a compresión perpendicular a la fibra</v>
      </c>
      <c r="F77" s="197" t="s">
        <v>471</v>
      </c>
      <c r="G77" s="197" t="s">
        <v>299</v>
      </c>
      <c r="H77" s="267">
        <f>VLOOKUP($H$74,Data!$B$4:$G$36,4,FALSE)</f>
        <v>2.5</v>
      </c>
      <c r="I77" s="409"/>
      <c r="N77" s="184"/>
      <c r="W77" s="99" t="s">
        <v>112</v>
      </c>
      <c r="X77" s="99">
        <f>IF(H99=2,H103+I103,H103)+IF(H114=7,24,17.5)</f>
        <v>124</v>
      </c>
    </row>
    <row r="78" spans="4:28" ht="30" customHeight="1" x14ac:dyDescent="0.2">
      <c r="D78" s="183"/>
      <c r="E78" s="261" t="str">
        <f>Translation!B50</f>
        <v>Resistencia característica al corte por laminado de fibra</v>
      </c>
      <c r="F78" s="197" t="s">
        <v>472</v>
      </c>
      <c r="G78" s="197" t="s">
        <v>299</v>
      </c>
      <c r="H78" s="267">
        <f>VLOOKUP($H$74,Data!$B$4:$G$36,5,FALSE)</f>
        <v>1.2</v>
      </c>
      <c r="I78" s="409"/>
      <c r="N78" s="184"/>
      <c r="W78" s="99" t="s">
        <v>1320</v>
      </c>
      <c r="X78" s="99">
        <f>H117</f>
        <v>80</v>
      </c>
    </row>
    <row r="79" spans="4:28" ht="20.100000000000001" customHeight="1" x14ac:dyDescent="0.2">
      <c r="D79" s="183"/>
      <c r="E79" s="99" t="str">
        <f>Translation!B51</f>
        <v>Resistencia característica al corte</v>
      </c>
      <c r="F79" s="197" t="s">
        <v>473</v>
      </c>
      <c r="G79" s="197" t="s">
        <v>299</v>
      </c>
      <c r="H79" s="267">
        <f>VLOOKUP($H$74,Data!$B$4:$G$36,6,FALSE)</f>
        <v>3.5</v>
      </c>
      <c r="I79" s="409"/>
      <c r="N79" s="184"/>
      <c r="X79" s="346" t="s">
        <v>1316</v>
      </c>
    </row>
    <row r="80" spans="4:28" ht="9.9499999999999993" customHeight="1" x14ac:dyDescent="0.2">
      <c r="D80" s="183"/>
      <c r="N80" s="184"/>
    </row>
    <row r="81" spans="4:29" ht="19.5" customHeight="1" x14ac:dyDescent="0.2">
      <c r="D81" s="183"/>
      <c r="E81" s="198" t="str">
        <f>Translation!B54</f>
        <v>4.2 Elemento secundario</v>
      </c>
      <c r="K81" s="411"/>
      <c r="L81" s="411"/>
      <c r="N81" s="184"/>
      <c r="X81" s="99" t="s">
        <v>1317</v>
      </c>
    </row>
    <row r="82" spans="4:29" ht="9.9499999999999993" customHeight="1" x14ac:dyDescent="0.2">
      <c r="D82" s="183"/>
      <c r="F82" s="199"/>
      <c r="G82" s="199"/>
      <c r="H82" s="199"/>
      <c r="I82" s="199"/>
      <c r="N82" s="184"/>
    </row>
    <row r="83" spans="4:29" ht="20.100000000000001" customHeight="1" x14ac:dyDescent="0.2">
      <c r="D83" s="183"/>
      <c r="E83" s="99" t="str">
        <f>Translation!B55</f>
        <v>Base de la viga</v>
      </c>
      <c r="F83" s="197" t="s">
        <v>307</v>
      </c>
      <c r="G83" s="197" t="s">
        <v>261</v>
      </c>
      <c r="H83" s="297">
        <v>240</v>
      </c>
      <c r="I83" s="410" t="str">
        <f>Translation!B207</f>
        <v>¡¡ elemento demasiado pequeño para el conector seleccionado !!</v>
      </c>
      <c r="J83" s="337"/>
      <c r="K83" s="411"/>
      <c r="L83" s="411"/>
      <c r="M83" s="337"/>
      <c r="N83" s="184"/>
      <c r="W83" s="99" t="s">
        <v>112</v>
      </c>
      <c r="X83" s="99">
        <f>IF(H99=2,H103+I103,H103)+IF(H114=7,24,17.5)</f>
        <v>124</v>
      </c>
    </row>
    <row r="84" spans="4:29" ht="20.100000000000001" customHeight="1" x14ac:dyDescent="0.2">
      <c r="D84" s="183"/>
      <c r="E84" s="99" t="str">
        <f>Translation!B56</f>
        <v>Altura de la viga</v>
      </c>
      <c r="F84" s="197" t="s">
        <v>308</v>
      </c>
      <c r="G84" s="197" t="s">
        <v>261</v>
      </c>
      <c r="H84" s="297">
        <v>400</v>
      </c>
      <c r="I84" s="410"/>
      <c r="J84" s="337"/>
      <c r="K84" s="337"/>
      <c r="L84" s="337"/>
      <c r="M84" s="337"/>
      <c r="N84" s="184"/>
      <c r="W84" s="99" t="s">
        <v>1319</v>
      </c>
      <c r="X84" s="99">
        <f>H104</f>
        <v>290</v>
      </c>
    </row>
    <row r="85" spans="4:29" ht="20.100000000000001" customHeight="1" x14ac:dyDescent="0.2">
      <c r="D85" s="183"/>
      <c r="E85" s="99" t="str">
        <f>Translation!B57</f>
        <v>Tipo de madera</v>
      </c>
      <c r="F85" s="197" t="s">
        <v>4</v>
      </c>
      <c r="G85" s="197" t="s">
        <v>262</v>
      </c>
      <c r="H85" s="297" t="s">
        <v>57</v>
      </c>
      <c r="I85" s="410" t="str">
        <f>Translation!B59</f>
        <v>Para ángulos altos, compruebe que los tornillos no sobresalen geométricamente de las secciones.</v>
      </c>
      <c r="J85" s="409"/>
      <c r="K85" s="409"/>
      <c r="N85" s="184"/>
      <c r="X85" s="99" t="s">
        <v>1318</v>
      </c>
    </row>
    <row r="86" spans="4:29" ht="20.100000000000001" customHeight="1" x14ac:dyDescent="0.2">
      <c r="D86" s="183"/>
      <c r="E86" s="99" t="str">
        <f>Translation!B58</f>
        <v>Ángulo en el plano vertical</v>
      </c>
      <c r="F86" s="197" t="s">
        <v>178</v>
      </c>
      <c r="G86" s="197" t="s">
        <v>263</v>
      </c>
      <c r="H86" s="297">
        <v>0</v>
      </c>
      <c r="I86" s="410"/>
      <c r="J86" s="409"/>
      <c r="K86" s="409"/>
      <c r="L86" s="351"/>
      <c r="M86" s="351"/>
      <c r="N86" s="184"/>
      <c r="R86" s="99">
        <f>IF(H99=2,IF(H104&lt;&gt;I104,0,1),1)</f>
        <v>1</v>
      </c>
      <c r="W86" s="99" t="s">
        <v>112</v>
      </c>
      <c r="X86" s="182">
        <f>IF(H99=2,H103+I103,H103)+IF(H114&gt;5,30,25.5)</f>
        <v>130</v>
      </c>
      <c r="AB86" s="99" t="s">
        <v>252</v>
      </c>
      <c r="AC86" s="99">
        <f>VLOOKUP(H97,Data!AA4:AC24,3,FALSE)</f>
        <v>290</v>
      </c>
    </row>
    <row r="87" spans="4:29" ht="20.100000000000001" customHeight="1" x14ac:dyDescent="0.2">
      <c r="D87" s="183"/>
      <c r="H87" s="340" t="s">
        <v>1275</v>
      </c>
      <c r="I87" s="351"/>
      <c r="J87" s="351"/>
      <c r="N87" s="184"/>
      <c r="W87" s="99" t="s">
        <v>1319</v>
      </c>
      <c r="X87" s="99">
        <f>H104+IF(H104=135,5,0)</f>
        <v>290</v>
      </c>
      <c r="AB87" s="99" t="s">
        <v>339</v>
      </c>
      <c r="AC87" s="99">
        <f>VLOOKUP(I97,Data!AA4:AC24,3,FALSE)</f>
        <v>135</v>
      </c>
    </row>
    <row r="88" spans="4:29" ht="20.100000000000001" customHeight="1" x14ac:dyDescent="0.2">
      <c r="D88" s="183"/>
      <c r="E88" s="266" t="str">
        <f>CONCATENATE(Translation!B60,VLOOKUP(H88,Data!$B$4:$H$40,7,FALSE))</f>
        <v>Clase de resistencia de la madera EN 14080:2013</v>
      </c>
      <c r="H88" s="214" t="str">
        <f>H85</f>
        <v>GL22h</v>
      </c>
      <c r="I88" s="409" t="str">
        <f>Translation!B66</f>
        <v>Para tornillos de fijación sobre el elemento de madera con densidad característica ρk&gt;420 kg/m3, el pre-agujero es obligatorio.</v>
      </c>
      <c r="N88" s="184"/>
    </row>
    <row r="89" spans="4:29" ht="20.100000000000001" customHeight="1" x14ac:dyDescent="0.2">
      <c r="D89" s="183"/>
      <c r="E89" s="99" t="str">
        <f>Translation!B61</f>
        <v>Densidad característica</v>
      </c>
      <c r="F89" s="197" t="s">
        <v>474</v>
      </c>
      <c r="G89" s="197" t="s">
        <v>300</v>
      </c>
      <c r="H89" s="268">
        <f>VLOOKUP($H$88,Data!$B$4:$G$36,2,FALSE)</f>
        <v>370</v>
      </c>
      <c r="I89" s="409"/>
      <c r="N89" s="184"/>
    </row>
    <row r="90" spans="4:29" ht="30" customHeight="1" x14ac:dyDescent="0.2">
      <c r="D90" s="183"/>
      <c r="E90" s="261" t="str">
        <f>Translation!B62</f>
        <v>Resistencia característica a compresión paralela a la fibra</v>
      </c>
      <c r="F90" s="197" t="s">
        <v>470</v>
      </c>
      <c r="G90" s="197" t="s">
        <v>299</v>
      </c>
      <c r="H90" s="267">
        <f>VLOOKUP($H$88,Data!$B$4:$G$36,3,FALSE)</f>
        <v>22</v>
      </c>
      <c r="I90" s="409"/>
      <c r="N90" s="184"/>
    </row>
    <row r="91" spans="4:29" ht="30" customHeight="1" x14ac:dyDescent="0.2">
      <c r="D91" s="183"/>
      <c r="E91" s="261" t="str">
        <f>Translation!B63</f>
        <v>Resistencia característica a compresión perpendicular a la fibra</v>
      </c>
      <c r="F91" s="197" t="s">
        <v>471</v>
      </c>
      <c r="G91" s="197" t="s">
        <v>299</v>
      </c>
      <c r="H91" s="267">
        <f>VLOOKUP($H$88,Data!$B$4:$G$36,4,FALSE)</f>
        <v>2.5</v>
      </c>
      <c r="I91" s="409"/>
      <c r="N91" s="184"/>
    </row>
    <row r="92" spans="4:29" ht="30" customHeight="1" x14ac:dyDescent="0.2">
      <c r="D92" s="183"/>
      <c r="E92" s="261" t="str">
        <f>Translation!B64</f>
        <v>Resistencia característica al corte por laminado de fibra</v>
      </c>
      <c r="F92" s="197" t="s">
        <v>472</v>
      </c>
      <c r="G92" s="197" t="s">
        <v>299</v>
      </c>
      <c r="H92" s="267">
        <f>VLOOKUP($H$88,Data!$B$4:$G$36,5,FALSE)</f>
        <v>1.2</v>
      </c>
      <c r="I92" s="409"/>
      <c r="N92" s="184"/>
    </row>
    <row r="93" spans="4:29" ht="20.100000000000001" customHeight="1" x14ac:dyDescent="0.2">
      <c r="D93" s="183"/>
      <c r="E93" s="99" t="str">
        <f>Translation!B65</f>
        <v>Resistencia característica al corte</v>
      </c>
      <c r="F93" s="197" t="s">
        <v>473</v>
      </c>
      <c r="G93" s="197" t="s">
        <v>299</v>
      </c>
      <c r="H93" s="267">
        <f>VLOOKUP($H$88,Data!$B$4:$G$36,6,FALSE)</f>
        <v>3.5</v>
      </c>
      <c r="I93" s="409"/>
      <c r="N93" s="184"/>
      <c r="O93" s="242"/>
    </row>
    <row r="94" spans="4:29" ht="9.9499999999999993" customHeight="1" x14ac:dyDescent="0.2">
      <c r="D94" s="183"/>
      <c r="N94" s="184"/>
    </row>
    <row r="95" spans="4:29" ht="30" customHeight="1" x14ac:dyDescent="0.2">
      <c r="D95" s="183"/>
      <c r="E95" s="221" t="str">
        <f>Translation!B67</f>
        <v>5. Elección del conector y de los tornillos</v>
      </c>
      <c r="F95" s="222"/>
      <c r="G95" s="222"/>
      <c r="H95" s="223"/>
      <c r="I95" s="223"/>
      <c r="J95" s="222"/>
      <c r="K95" s="222"/>
      <c r="L95" s="222"/>
      <c r="M95" s="222"/>
      <c r="N95" s="184"/>
    </row>
    <row r="96" spans="4:29" ht="9.9499999999999993" customHeight="1" x14ac:dyDescent="0.2">
      <c r="D96" s="183"/>
      <c r="N96" s="184"/>
    </row>
    <row r="97" spans="4:27" ht="20.100000000000001" customHeight="1" x14ac:dyDescent="0.2">
      <c r="D97" s="183"/>
      <c r="E97" s="99" t="str">
        <f>Translation!B68</f>
        <v>Elección del conector</v>
      </c>
      <c r="F97" s="230"/>
      <c r="H97" s="297" t="s">
        <v>373</v>
      </c>
      <c r="I97" s="297" t="s">
        <v>362</v>
      </c>
      <c r="K97" s="409" t="str">
        <f>Translation!B71</f>
        <v>Los conectores en pares tiene que tener la misma altura!</v>
      </c>
      <c r="L97" s="409"/>
      <c r="M97" s="409"/>
      <c r="N97" s="184"/>
    </row>
    <row r="98" spans="4:27" ht="20.100000000000001" customHeight="1" x14ac:dyDescent="0.2">
      <c r="D98" s="183"/>
      <c r="E98" s="99" t="str">
        <f>Translation!B69</f>
        <v>Versión con revestimiento C4 EVO</v>
      </c>
      <c r="H98" s="297" t="s">
        <v>535</v>
      </c>
      <c r="I98" s="255" t="str">
        <f>H98</f>
        <v>Sí</v>
      </c>
      <c r="N98" s="184"/>
    </row>
    <row r="99" spans="4:27" ht="20.100000000000001" customHeight="1" x14ac:dyDescent="0.2">
      <c r="D99" s="183"/>
      <c r="E99" s="99" t="str">
        <f>Translation!B70</f>
        <v>Acoplamiento conectores: número de conectores</v>
      </c>
      <c r="F99" s="242"/>
      <c r="H99" s="297">
        <v>1</v>
      </c>
      <c r="I99" s="99"/>
      <c r="N99" s="184"/>
    </row>
    <row r="100" spans="4:27" ht="20.100000000000001" customHeight="1" x14ac:dyDescent="0.2">
      <c r="D100" s="183"/>
      <c r="H100" s="256" t="str">
        <f>IF(H98=AC165,VLOOKUP(H97,Data!AA4:AK22,11,FALSE)," ")</f>
        <v>(*)</v>
      </c>
      <c r="I100" s="256">
        <f>IF(I98=AC165,VLOOKUP(I97,Data!AA4:AU22,21,FALSE)," ")</f>
        <v>0</v>
      </c>
      <c r="N100" s="184"/>
      <c r="P100" s="230"/>
      <c r="AA100" s="99" t="e">
        <f>IF('LOCK-T'!H65='LOCK-T'!AB62,VLOOKUP(B6,Data!AA32:AC50,3,FALSE),VLOOKUP(B6,Data!AA32:AC50,2,FALSE))</f>
        <v>#N/A</v>
      </c>
    </row>
    <row r="101" spans="4:27" ht="20.100000000000001" customHeight="1" x14ac:dyDescent="0.2">
      <c r="D101" s="183"/>
      <c r="E101" s="99" t="str">
        <f>Translation!B72</f>
        <v>Código del conector utilizado</v>
      </c>
      <c r="H101" s="214" t="str">
        <f>CONCATENATE(VLOOKUP(H97,Data!AA4:AI24,9,FALSE),IF(H98=AC165,VLOOKUP(H97,Data!AA4:AK22,10,FALSE),""),ROUND(VLOOKUP(H97,Data!AA4:AC24,2,FALSE),0),VLOOKUP(H97,Data!AA4:AC24,3,FALSE))</f>
        <v>LOCKTEV100290</v>
      </c>
      <c r="I101" s="214" t="str">
        <f>CONCATENATE(VLOOKUP(I97,Data!AA4:AI24,9,FALSE),IF(I98=AC165,VLOOKUP(I97,Data!AA4:AK22,10,FALSE),""),ROUND(VLOOKUP(I97,Data!AA4:AC24,2,FALSE),0),VLOOKUP(I97,Data!AA4:AC24,3,FALSE))</f>
        <v>LOCKTEVO50135</v>
      </c>
      <c r="J101" s="201"/>
      <c r="N101" s="184"/>
    </row>
    <row r="102" spans="4:27" ht="20.100000000000001" customHeight="1" x14ac:dyDescent="0.2">
      <c r="D102" s="183"/>
      <c r="E102" s="99" t="str">
        <f>Translation!B73</f>
        <v>Número de módulos básicos ETA-19/0831</v>
      </c>
      <c r="F102" s="197" t="s">
        <v>405</v>
      </c>
      <c r="G102" s="197" t="s">
        <v>262</v>
      </c>
      <c r="H102" s="215">
        <f>VLOOKUP(H97,Data!$AA$4:$AF$24,6,FALSE)</f>
        <v>4</v>
      </c>
      <c r="I102" s="215">
        <f>VLOOKUP(I97,Data!$AA$4:$AF$24,6,FALSE)</f>
        <v>2</v>
      </c>
      <c r="J102" s="201"/>
      <c r="N102" s="184"/>
    </row>
    <row r="103" spans="4:27" ht="20.100000000000001" customHeight="1" x14ac:dyDescent="0.2">
      <c r="D103" s="183"/>
      <c r="E103" s="99" t="str">
        <f>Translation!B74</f>
        <v>Base</v>
      </c>
      <c r="F103" s="197" t="s">
        <v>309</v>
      </c>
      <c r="G103" s="197" t="s">
        <v>261</v>
      </c>
      <c r="H103" s="215">
        <f>VLOOKUP(H97,Data!AA4:AC24,2,FALSE)</f>
        <v>100</v>
      </c>
      <c r="I103" s="215">
        <f>VLOOKUP(I97,Data!AA4:AC24,2,FALSE)</f>
        <v>50</v>
      </c>
      <c r="N103" s="184"/>
      <c r="P103" s="242"/>
    </row>
    <row r="104" spans="4:27" ht="20.100000000000001" customHeight="1" x14ac:dyDescent="0.2">
      <c r="D104" s="183"/>
      <c r="E104" s="99" t="str">
        <f>Translation!B75</f>
        <v>Altura</v>
      </c>
      <c r="F104" s="197" t="s">
        <v>310</v>
      </c>
      <c r="G104" s="197" t="s">
        <v>261</v>
      </c>
      <c r="H104" s="215">
        <f>VLOOKUP(H97,Data!AA4:AC24,3,FALSE)</f>
        <v>290</v>
      </c>
      <c r="I104" s="215">
        <f>VLOOKUP(I97,Data!AA4:AC24,3,FALSE)</f>
        <v>135</v>
      </c>
      <c r="N104" s="184"/>
    </row>
    <row r="105" spans="4:27" ht="20.100000000000001" customHeight="1" x14ac:dyDescent="0.2">
      <c r="D105" s="183"/>
      <c r="E105" s="99" t="str">
        <f>Translation!B76</f>
        <v>Espesor</v>
      </c>
      <c r="F105" s="197" t="s">
        <v>489</v>
      </c>
      <c r="G105" s="197" t="s">
        <v>261</v>
      </c>
      <c r="H105" s="215">
        <f>VLOOKUP(VLOOKUP(H97,Data!AA4:AD24,4,FALSE),Data!I4:T15,12,FALSE)</f>
        <v>22</v>
      </c>
      <c r="I105" s="215">
        <f>VLOOKUP(VLOOKUP(I97,Data!AA4:AD24,4,FALSE),Data!I4:T15,12,FALSE)</f>
        <v>22</v>
      </c>
      <c r="K105" s="201" t="str">
        <f>IF(H100="(*)",Translation!B81," ")</f>
        <v>(*) Código disponible bajo pedido específico</v>
      </c>
      <c r="L105" s="201"/>
      <c r="M105" s="201"/>
      <c r="N105" s="184"/>
    </row>
    <row r="106" spans="4:27" ht="20.100000000000001" customHeight="1" x14ac:dyDescent="0.2">
      <c r="D106" s="183"/>
      <c r="E106" s="99" t="str">
        <f>Translation!B77</f>
        <v>Agujeros</v>
      </c>
      <c r="F106" s="197" t="s">
        <v>306</v>
      </c>
      <c r="G106" s="197" t="s">
        <v>305</v>
      </c>
      <c r="H106" s="215">
        <f>VLOOKUP(H97,Data!AA4:AG24,7,FALSE)*2</f>
        <v>72</v>
      </c>
      <c r="I106" s="215">
        <f>VLOOKUP(I97,Data!AA4:AG24,7,FALSE)*2</f>
        <v>12</v>
      </c>
      <c r="K106" s="201" t="str">
        <f>IF(I100="(**)",Translation!B82," ")</f>
        <v xml:space="preserve"> </v>
      </c>
      <c r="L106" s="201"/>
      <c r="M106" s="201"/>
      <c r="N106" s="184"/>
    </row>
    <row r="107" spans="4:27" ht="20.100000000000001" customHeight="1" x14ac:dyDescent="0.2">
      <c r="D107" s="183"/>
      <c r="E107" s="261" t="str">
        <f>Translation!B78</f>
        <v>Área de contacto entre el conector LOCK T y cabeza o pilar</v>
      </c>
      <c r="F107" s="197" t="s">
        <v>397</v>
      </c>
      <c r="G107" s="197" t="s">
        <v>398</v>
      </c>
      <c r="H107" s="215">
        <f>VLOOKUP(VLOOKUP(H97,Data!$AA$4:$AD$24,4,FALSE),Data!$I$4:$L$15,4,FALSE)</f>
        <v>1945</v>
      </c>
      <c r="I107" s="215">
        <f>VLOOKUP(VLOOKUP(I97,Data!$AA$4:$AD$24,4,FALSE),Data!$I$4:$L$15,4,FALSE)</f>
        <v>924</v>
      </c>
      <c r="K107" s="256"/>
      <c r="L107" s="256"/>
      <c r="M107" s="256"/>
      <c r="N107" s="184"/>
    </row>
    <row r="108" spans="4:27" ht="20.100000000000001" customHeight="1" x14ac:dyDescent="0.2">
      <c r="D108" s="183"/>
      <c r="E108" s="99" t="str">
        <f>Translation!B79</f>
        <v>Longitud del conector LOCK T</v>
      </c>
      <c r="F108" s="197" t="s">
        <v>400</v>
      </c>
      <c r="G108" s="197" t="s">
        <v>261</v>
      </c>
      <c r="H108" s="215">
        <f>VLOOKUP(H97,Data!AA4:AC24,3,FALSE)</f>
        <v>290</v>
      </c>
      <c r="I108" s="215">
        <f>VLOOKUP(I97,Data!AA4:AC24,3,FALSE)</f>
        <v>135</v>
      </c>
      <c r="K108" s="411" t="str">
        <f>Translation!B83</f>
        <v>Acoplamiento conectores:</v>
      </c>
      <c r="L108" s="411"/>
      <c r="M108" s="411"/>
      <c r="N108" s="184"/>
    </row>
    <row r="109" spans="4:27" ht="20.100000000000001" customHeight="1" x14ac:dyDescent="0.2">
      <c r="D109" s="183"/>
      <c r="E109" s="99" t="str">
        <f>Translation!B80</f>
        <v>Factor de forma</v>
      </c>
      <c r="F109" s="197" t="s">
        <v>402</v>
      </c>
      <c r="G109" s="197" t="s">
        <v>262</v>
      </c>
      <c r="H109" s="215">
        <f>VLOOKUP(VLOOKUP(H97,Data!$AA$4:$AD$24,4,FALSE),Data!$I$4:$S$15,11,FALSE)</f>
        <v>0.55000000000000004</v>
      </c>
      <c r="I109" s="215">
        <f>VLOOKUP(VLOOKUP(I97,Data!$AA$4:$AD$24,4,FALSE),Data!$I$4:$S$15,11,FALSE)</f>
        <v>0.65</v>
      </c>
      <c r="K109" s="256"/>
      <c r="L109" s="256"/>
      <c r="M109" s="256"/>
      <c r="N109" s="184"/>
    </row>
    <row r="110" spans="4:27" ht="9.9499999999999993" customHeight="1" x14ac:dyDescent="0.2">
      <c r="D110" s="183"/>
      <c r="N110" s="184"/>
    </row>
    <row r="111" spans="4:27" ht="20.100000000000001" customHeight="1" x14ac:dyDescent="0.2">
      <c r="D111" s="183"/>
      <c r="E111" s="99" t="str">
        <f>Translation!B84</f>
        <v>Tornillos fijación elemento principal</v>
      </c>
      <c r="H111" s="297" t="s">
        <v>1330</v>
      </c>
      <c r="I111" s="255" t="str">
        <f>H111</f>
        <v>LBS Ø 7 x 80</v>
      </c>
      <c r="N111" s="184"/>
    </row>
    <row r="112" spans="4:27" ht="9.9499999999999993" customHeight="1" x14ac:dyDescent="0.2">
      <c r="D112" s="183"/>
      <c r="N112" s="184"/>
    </row>
    <row r="113" spans="4:18" ht="20.100000000000001" customHeight="1" x14ac:dyDescent="0.2">
      <c r="D113" s="183"/>
      <c r="E113" s="99" t="str">
        <f>Translation!B85</f>
        <v>Código tornillo elemento principal</v>
      </c>
      <c r="H113" s="214" t="str">
        <f>VLOOKUP(H111,Screws!C6:K34,9,FALSE)</f>
        <v>LBS780</v>
      </c>
      <c r="I113" s="214" t="str">
        <f t="shared" ref="I113:I122" si="0">H113</f>
        <v>LBS780</v>
      </c>
      <c r="N113" s="184"/>
    </row>
    <row r="114" spans="4:18" ht="20.100000000000001" customHeight="1" x14ac:dyDescent="0.2">
      <c r="D114" s="183"/>
      <c r="E114" s="99" t="str">
        <f>Translation!B86</f>
        <v>Diámetro nominal</v>
      </c>
      <c r="F114" s="197" t="s">
        <v>291</v>
      </c>
      <c r="G114" s="197" t="s">
        <v>261</v>
      </c>
      <c r="H114" s="215">
        <f>VLOOKUP(H111,Screws!AG6:AP34,2,FALSE)</f>
        <v>7</v>
      </c>
      <c r="I114" s="215">
        <f t="shared" si="0"/>
        <v>7</v>
      </c>
      <c r="N114" s="184"/>
    </row>
    <row r="115" spans="4:18" ht="20.100000000000001" customHeight="1" x14ac:dyDescent="0.2">
      <c r="D115" s="183"/>
      <c r="E115" s="99" t="str">
        <f>Translation!B87</f>
        <v>Diámetro rosca</v>
      </c>
      <c r="F115" s="197" t="s">
        <v>292</v>
      </c>
      <c r="G115" s="197" t="s">
        <v>261</v>
      </c>
      <c r="H115" s="215">
        <f>VLOOKUP(H111,Screws!AG6:AP34,3,FALSE)</f>
        <v>4.4000000000000004</v>
      </c>
      <c r="I115" s="215">
        <f t="shared" si="0"/>
        <v>4.4000000000000004</v>
      </c>
      <c r="N115" s="184"/>
    </row>
    <row r="116" spans="4:18" ht="20.100000000000001" customHeight="1" x14ac:dyDescent="0.2">
      <c r="D116" s="183"/>
      <c r="E116" s="99" t="str">
        <f>Translation!B88</f>
        <v>Diámetro cabeza</v>
      </c>
      <c r="F116" s="197" t="s">
        <v>293</v>
      </c>
      <c r="G116" s="197" t="s">
        <v>261</v>
      </c>
      <c r="H116" s="215">
        <f>VLOOKUP(H111,Screws!AG6:AP34,4,FALSE)</f>
        <v>11</v>
      </c>
      <c r="I116" s="215">
        <f t="shared" si="0"/>
        <v>11</v>
      </c>
      <c r="N116" s="184"/>
    </row>
    <row r="117" spans="4:18" ht="20.100000000000001" customHeight="1" x14ac:dyDescent="0.2">
      <c r="D117" s="183"/>
      <c r="E117" s="99" t="str">
        <f>Translation!B89</f>
        <v>Longitud</v>
      </c>
      <c r="F117" s="197" t="s">
        <v>290</v>
      </c>
      <c r="G117" s="197" t="s">
        <v>261</v>
      </c>
      <c r="H117" s="215">
        <f>VLOOKUP(H111,Screws!AG6:AP34,5,FALSE)</f>
        <v>80</v>
      </c>
      <c r="I117" s="215">
        <f t="shared" si="0"/>
        <v>80</v>
      </c>
      <c r="N117" s="184"/>
    </row>
    <row r="118" spans="4:18" ht="20.100000000000001" customHeight="1" x14ac:dyDescent="0.2">
      <c r="D118" s="183"/>
      <c r="E118" s="99" t="str">
        <f>Translation!B90</f>
        <v>Longitud rosca</v>
      </c>
      <c r="F118" s="197" t="s">
        <v>294</v>
      </c>
      <c r="G118" s="197" t="s">
        <v>261</v>
      </c>
      <c r="H118" s="215">
        <f>VLOOKUP(H111,Screws!AG6:AP34,6,FALSE)</f>
        <v>75</v>
      </c>
      <c r="I118" s="215">
        <f t="shared" si="0"/>
        <v>75</v>
      </c>
      <c r="N118" s="184"/>
    </row>
    <row r="119" spans="4:18" ht="20.100000000000001" customHeight="1" x14ac:dyDescent="0.2">
      <c r="D119" s="183"/>
      <c r="E119" s="99" t="str">
        <f>Translation!B91</f>
        <v>Parámetro característico extracción</v>
      </c>
      <c r="F119" s="197" t="s">
        <v>295</v>
      </c>
      <c r="G119" s="197" t="s">
        <v>299</v>
      </c>
      <c r="H119" s="215">
        <f>VLOOKUP(H111,Screws!AG6:AP34,7,FALSE)</f>
        <v>11.7</v>
      </c>
      <c r="I119" s="215">
        <f t="shared" si="0"/>
        <v>11.7</v>
      </c>
      <c r="N119" s="184"/>
    </row>
    <row r="120" spans="4:18" ht="20.100000000000001" customHeight="1" x14ac:dyDescent="0.2">
      <c r="D120" s="183"/>
      <c r="E120" s="99" t="str">
        <f>Translation!B92</f>
        <v>Densidad asociada</v>
      </c>
      <c r="F120" s="197" t="s">
        <v>296</v>
      </c>
      <c r="G120" s="197" t="s">
        <v>300</v>
      </c>
      <c r="H120" s="215">
        <f>VLOOKUP(H111,Screws!AG6:AP34,8,FALSE)</f>
        <v>350</v>
      </c>
      <c r="I120" s="215">
        <f t="shared" si="0"/>
        <v>350</v>
      </c>
      <c r="N120" s="184"/>
    </row>
    <row r="121" spans="4:18" ht="20.100000000000001" customHeight="1" x14ac:dyDescent="0.2">
      <c r="D121" s="183"/>
      <c r="E121" s="99" t="str">
        <f>Translation!B93</f>
        <v>Resistencia característica de tracción</v>
      </c>
      <c r="F121" s="197" t="s">
        <v>297</v>
      </c>
      <c r="G121" s="197" t="s">
        <v>258</v>
      </c>
      <c r="H121" s="215">
        <f>VLOOKUP(H111,Screws!AG6:AP34,9,FALSE)</f>
        <v>15.4</v>
      </c>
      <c r="I121" s="215">
        <f t="shared" si="0"/>
        <v>15.4</v>
      </c>
      <c r="N121" s="184"/>
    </row>
    <row r="122" spans="4:18" ht="20.100000000000001" customHeight="1" x14ac:dyDescent="0.2">
      <c r="D122" s="183"/>
      <c r="E122" s="99" t="str">
        <f>Translation!B94</f>
        <v>Momento plástico característico</v>
      </c>
      <c r="F122" s="197" t="s">
        <v>323</v>
      </c>
      <c r="G122" s="197" t="s">
        <v>324</v>
      </c>
      <c r="H122" s="215">
        <f>VLOOKUP(H111,Screws!AG6:AP34,10,FALSE)</f>
        <v>14.2</v>
      </c>
      <c r="I122" s="215">
        <f t="shared" si="0"/>
        <v>14.2</v>
      </c>
      <c r="N122" s="184"/>
    </row>
    <row r="123" spans="4:18" ht="9.9499999999999993" customHeight="1" x14ac:dyDescent="0.2">
      <c r="D123" s="183"/>
      <c r="F123" s="197"/>
      <c r="G123" s="197"/>
      <c r="H123" s="215"/>
      <c r="I123" s="215"/>
      <c r="N123" s="184"/>
    </row>
    <row r="124" spans="4:18" ht="20.100000000000001" customHeight="1" x14ac:dyDescent="0.2">
      <c r="D124" s="183"/>
      <c r="E124" s="99" t="str">
        <f>Translation!B95</f>
        <v>Tornillos fijación viga secundaria</v>
      </c>
      <c r="F124" s="242"/>
      <c r="H124" s="297" t="s">
        <v>1330</v>
      </c>
      <c r="I124" s="255" t="str">
        <f>H124</f>
        <v>LBS Ø 7 x 80</v>
      </c>
      <c r="N124" s="184"/>
    </row>
    <row r="125" spans="4:18" ht="9.9499999999999993" customHeight="1" x14ac:dyDescent="0.2">
      <c r="D125" s="183"/>
      <c r="F125" s="197"/>
      <c r="G125" s="197"/>
      <c r="H125" s="215"/>
      <c r="I125" s="215"/>
      <c r="N125" s="184"/>
    </row>
    <row r="126" spans="4:18" ht="20.100000000000001" customHeight="1" x14ac:dyDescent="0.2">
      <c r="D126" s="183"/>
      <c r="E126" s="99" t="str">
        <f>Translation!B97</f>
        <v>Código tornillo viga secundaria</v>
      </c>
      <c r="H126" s="214" t="str">
        <f>VLOOKUP(H124,Screws!$C$6:$K$34,9,FALSE)</f>
        <v>LBS780</v>
      </c>
      <c r="I126" s="214" t="str">
        <f t="shared" ref="I126:I135" si="1">H126</f>
        <v>LBS780</v>
      </c>
      <c r="K126" s="411" t="str">
        <f>Translation!B96</f>
        <v>Configuración Flat:</v>
      </c>
      <c r="L126" s="411"/>
      <c r="M126" s="411"/>
      <c r="N126" s="184"/>
    </row>
    <row r="127" spans="4:18" ht="20.100000000000001" customHeight="1" x14ac:dyDescent="0.2">
      <c r="D127" s="183"/>
      <c r="E127" s="99" t="str">
        <f>Translation!B98</f>
        <v>Diámetro nominal</v>
      </c>
      <c r="F127" s="197" t="s">
        <v>291</v>
      </c>
      <c r="G127" s="197" t="s">
        <v>261</v>
      </c>
      <c r="H127" s="215">
        <f>VLOOKUP(H124,Screws!$AG$6:$AP$34,2,FALSE)</f>
        <v>7</v>
      </c>
      <c r="I127" s="215">
        <f t="shared" si="1"/>
        <v>7</v>
      </c>
      <c r="N127" s="184"/>
      <c r="R127" s="99" t="str" cm="1">
        <f t="array" ref="R127:R132">IF(H97="LOCK-T 18 80",Screws!C37,IF($AC$86&lt;130,IF(H45=3,Screws!V13:V14,Screws!$V$6:$V$9),IF(H45=3,Screws!X13:X16,Screws!$X$6:$X$11)))</f>
        <v>LBS Ø 5 x 25</v>
      </c>
    </row>
    <row r="128" spans="4:18" ht="20.100000000000001" customHeight="1" x14ac:dyDescent="0.2">
      <c r="D128" s="183"/>
      <c r="E128" s="99" t="str">
        <f>Translation!B99</f>
        <v>Diámetro núcleo</v>
      </c>
      <c r="F128" s="197" t="s">
        <v>292</v>
      </c>
      <c r="G128" s="197" t="s">
        <v>261</v>
      </c>
      <c r="H128" s="215">
        <f>VLOOKUP(H124,Screws!$AG$6:$AP$34,3,FALSE)</f>
        <v>4.4000000000000004</v>
      </c>
      <c r="I128" s="215">
        <f t="shared" si="1"/>
        <v>4.4000000000000004</v>
      </c>
      <c r="N128" s="184"/>
      <c r="R128" s="99" t="str">
        <v>LBS Ø 5 x 40</v>
      </c>
    </row>
    <row r="129" spans="4:18" ht="20.100000000000001" customHeight="1" x14ac:dyDescent="0.2">
      <c r="D129" s="183"/>
      <c r="E129" s="99" t="str">
        <f>Translation!B100</f>
        <v>Diámetro cabeza</v>
      </c>
      <c r="F129" s="197" t="s">
        <v>293</v>
      </c>
      <c r="G129" s="197" t="s">
        <v>261</v>
      </c>
      <c r="H129" s="215">
        <f>VLOOKUP(H124,Screws!$AG$6:$AP$34,4,FALSE)</f>
        <v>11</v>
      </c>
      <c r="I129" s="215">
        <f t="shared" si="1"/>
        <v>11</v>
      </c>
      <c r="N129" s="184"/>
      <c r="R129" s="99" t="str">
        <v>LBS Ø 5 x 50</v>
      </c>
    </row>
    <row r="130" spans="4:18" ht="20.100000000000001" customHeight="1" x14ac:dyDescent="0.2">
      <c r="D130" s="183"/>
      <c r="E130" s="99" t="str">
        <f>Translation!B101</f>
        <v>Longitud</v>
      </c>
      <c r="F130" s="197" t="s">
        <v>290</v>
      </c>
      <c r="G130" s="197" t="s">
        <v>261</v>
      </c>
      <c r="H130" s="215">
        <f>VLOOKUP(H124,Screws!$AG$6:$AP$34,5,FALSE)</f>
        <v>80</v>
      </c>
      <c r="I130" s="215">
        <f t="shared" si="1"/>
        <v>80</v>
      </c>
      <c r="N130" s="184"/>
      <c r="R130" s="99" t="str">
        <v>LBS Ø 5 x 60</v>
      </c>
    </row>
    <row r="131" spans="4:18" ht="20.100000000000001" customHeight="1" x14ac:dyDescent="0.2">
      <c r="D131" s="183"/>
      <c r="E131" s="99" t="str">
        <f>Translation!B102</f>
        <v>Longitud rosca</v>
      </c>
      <c r="F131" s="197" t="s">
        <v>294</v>
      </c>
      <c r="G131" s="197" t="s">
        <v>261</v>
      </c>
      <c r="H131" s="215">
        <f>VLOOKUP(H124,Screws!$AG$6:$AP$34,6,FALSE)</f>
        <v>75</v>
      </c>
      <c r="I131" s="215">
        <f t="shared" si="1"/>
        <v>75</v>
      </c>
      <c r="N131" s="184"/>
      <c r="R131" s="99" t="str">
        <v>LBS Ø 5 x 70</v>
      </c>
    </row>
    <row r="132" spans="4:18" ht="20.100000000000001" customHeight="1" x14ac:dyDescent="0.2">
      <c r="D132" s="183"/>
      <c r="E132" s="99" t="str">
        <f>Translation!B103</f>
        <v>Parámetro característico extracción</v>
      </c>
      <c r="F132" s="197" t="s">
        <v>295</v>
      </c>
      <c r="G132" s="197" t="s">
        <v>299</v>
      </c>
      <c r="H132" s="215">
        <f>VLOOKUP(H124,Screws!$AG$6:$AP$34,7,FALSE)</f>
        <v>11.7</v>
      </c>
      <c r="I132" s="215">
        <f t="shared" si="1"/>
        <v>11.7</v>
      </c>
      <c r="N132" s="184"/>
      <c r="R132" s="99" t="str">
        <v>NO</v>
      </c>
    </row>
    <row r="133" spans="4:18" ht="20.100000000000001" customHeight="1" x14ac:dyDescent="0.2">
      <c r="D133" s="183"/>
      <c r="E133" s="99" t="str">
        <f>Translation!B104</f>
        <v>Densidad asociada</v>
      </c>
      <c r="F133" s="197" t="s">
        <v>296</v>
      </c>
      <c r="G133" s="197" t="s">
        <v>300</v>
      </c>
      <c r="H133" s="215">
        <f>VLOOKUP(H124,Screws!$AG$6:$AP$34,8,FALSE)</f>
        <v>350</v>
      </c>
      <c r="I133" s="215">
        <f t="shared" si="1"/>
        <v>350</v>
      </c>
      <c r="N133" s="184"/>
    </row>
    <row r="134" spans="4:18" ht="20.100000000000001" customHeight="1" x14ac:dyDescent="0.2">
      <c r="D134" s="183"/>
      <c r="E134" s="99" t="str">
        <f>Translation!B105</f>
        <v>Resistencia característica de tracción</v>
      </c>
      <c r="F134" s="197" t="s">
        <v>297</v>
      </c>
      <c r="G134" s="197" t="s">
        <v>258</v>
      </c>
      <c r="H134" s="215">
        <f>VLOOKUP(H124,Screws!$AG$6:$AP$34,9,FALSE)</f>
        <v>15.4</v>
      </c>
      <c r="I134" s="215">
        <f t="shared" si="1"/>
        <v>15.4</v>
      </c>
      <c r="N134" s="184"/>
    </row>
    <row r="135" spans="4:18" ht="20.100000000000001" customHeight="1" x14ac:dyDescent="0.2">
      <c r="D135" s="183"/>
      <c r="E135" s="99" t="str">
        <f>Translation!B106</f>
        <v>Momento plástico característico</v>
      </c>
      <c r="F135" s="197" t="s">
        <v>323</v>
      </c>
      <c r="G135" s="197" t="s">
        <v>324</v>
      </c>
      <c r="H135" s="215">
        <f>VLOOKUP(H124,Screws!$AG$6:$AP$34,10,FALSE)</f>
        <v>14.2</v>
      </c>
      <c r="I135" s="215">
        <f t="shared" si="1"/>
        <v>14.2</v>
      </c>
      <c r="N135" s="184"/>
    </row>
    <row r="136" spans="4:18" ht="9.9499999999999993" customHeight="1" x14ac:dyDescent="0.2">
      <c r="D136" s="183"/>
      <c r="N136" s="184"/>
    </row>
    <row r="137" spans="4:18" ht="20.100000000000001" hidden="1" customHeight="1" x14ac:dyDescent="0.2">
      <c r="D137" s="183"/>
      <c r="H137" s="99"/>
      <c r="I137" s="99"/>
      <c r="N137" s="184"/>
    </row>
    <row r="138" spans="4:18" ht="20.100000000000001" customHeight="1" x14ac:dyDescent="0.2">
      <c r="D138" s="183"/>
      <c r="E138" s="200" t="str">
        <f>Translation!B108</f>
        <v>Tipo de conector LOCK STOP</v>
      </c>
      <c r="H138" s="294" t="s">
        <v>1331</v>
      </c>
      <c r="I138" s="99"/>
      <c r="N138" s="184"/>
    </row>
    <row r="139" spans="4:18" ht="9.9499999999999993" customHeight="1" x14ac:dyDescent="0.2">
      <c r="D139" s="183"/>
      <c r="H139" s="99"/>
      <c r="I139" s="99"/>
      <c r="N139" s="184"/>
    </row>
    <row r="140" spans="4:18" ht="9.9499999999999993" customHeight="1" x14ac:dyDescent="0.2">
      <c r="D140" s="183"/>
      <c r="N140" s="184"/>
    </row>
    <row r="141" spans="4:18" ht="20.100000000000001" customHeight="1" x14ac:dyDescent="0.2">
      <c r="D141" s="183"/>
      <c r="E141" s="99" t="str">
        <f>Translation!B109</f>
        <v>Tornillos inclinados para levantamiento y/o resistencia lateral</v>
      </c>
      <c r="H141" s="297" t="s">
        <v>1341</v>
      </c>
      <c r="I141" s="255" t="str">
        <f>H141</f>
        <v>LBS Ø 5 x 60</v>
      </c>
      <c r="N141" s="184"/>
    </row>
    <row r="142" spans="4:18" ht="20.100000000000001" customHeight="1" x14ac:dyDescent="0.2">
      <c r="D142" s="183"/>
      <c r="E142" s="99" t="str">
        <f>Translation!B110</f>
        <v>Número de tornillos inclinados</v>
      </c>
      <c r="F142" s="197" t="s">
        <v>404</v>
      </c>
      <c r="G142" s="197" t="s">
        <v>261</v>
      </c>
      <c r="H142" s="215">
        <f>Uplift!AG30</f>
        <v>3</v>
      </c>
      <c r="I142" s="215">
        <f>Uplift!AG31</f>
        <v>1</v>
      </c>
      <c r="N142" s="184"/>
    </row>
    <row r="143" spans="4:18" ht="9.9499999999999993" customHeight="1" x14ac:dyDescent="0.2">
      <c r="D143" s="183"/>
      <c r="I143" s="243"/>
      <c r="N143" s="184"/>
    </row>
    <row r="144" spans="4:18" ht="20.100000000000001" customHeight="1" x14ac:dyDescent="0.2">
      <c r="D144" s="183"/>
      <c r="E144" s="99" t="str">
        <f>Translation!B111</f>
        <v>Código tornillos</v>
      </c>
      <c r="H144" s="214" t="str">
        <f>IF(H141="NO","-",VLOOKUP(H141,Screws!C6:K34,9,FALSE))</f>
        <v>LBS560</v>
      </c>
      <c r="I144" s="214" t="str">
        <f>H144</f>
        <v>LBS560</v>
      </c>
      <c r="N144" s="184"/>
    </row>
    <row r="145" spans="4:14" ht="20.100000000000001" customHeight="1" x14ac:dyDescent="0.2">
      <c r="D145" s="183"/>
      <c r="E145" s="99" t="str">
        <f>Translation!B112</f>
        <v>Diámetro nominal</v>
      </c>
      <c r="F145" s="197" t="s">
        <v>291</v>
      </c>
      <c r="G145" s="197" t="s">
        <v>261</v>
      </c>
      <c r="H145" s="215">
        <f>IF(H141="NO","-",VLOOKUP(H141,Screws!AG6:AP34,2,FALSE))</f>
        <v>5</v>
      </c>
      <c r="I145" s="215">
        <f t="shared" ref="I145:I153" si="2">H145</f>
        <v>5</v>
      </c>
      <c r="N145" s="184"/>
    </row>
    <row r="146" spans="4:14" ht="20.100000000000001" customHeight="1" x14ac:dyDescent="0.2">
      <c r="D146" s="183"/>
      <c r="E146" s="99" t="str">
        <f>Translation!B113</f>
        <v>Diámetro rosca</v>
      </c>
      <c r="F146" s="197" t="s">
        <v>292</v>
      </c>
      <c r="G146" s="197" t="s">
        <v>261</v>
      </c>
      <c r="H146" s="215">
        <f>IF(H141="NO","-",VLOOKUP(H141,Screws!AG6:AP34,3,FALSE))</f>
        <v>3</v>
      </c>
      <c r="I146" s="215">
        <f t="shared" si="2"/>
        <v>3</v>
      </c>
      <c r="N146" s="184"/>
    </row>
    <row r="147" spans="4:14" ht="20.100000000000001" customHeight="1" x14ac:dyDescent="0.2">
      <c r="D147" s="183"/>
      <c r="E147" s="99" t="str">
        <f>Translation!B114</f>
        <v>Diámetro cabeza</v>
      </c>
      <c r="F147" s="197" t="s">
        <v>293</v>
      </c>
      <c r="G147" s="197" t="s">
        <v>261</v>
      </c>
      <c r="H147" s="215">
        <f>IF(H141="NO","-",VLOOKUP(H141,Screws!AG6:AP34,4,FALSE))</f>
        <v>7.8</v>
      </c>
      <c r="I147" s="215">
        <f t="shared" si="2"/>
        <v>7.8</v>
      </c>
      <c r="N147" s="184"/>
    </row>
    <row r="148" spans="4:14" ht="20.100000000000001" customHeight="1" x14ac:dyDescent="0.2">
      <c r="D148" s="183"/>
      <c r="E148" s="99" t="str">
        <f>Translation!B115</f>
        <v>Longitud</v>
      </c>
      <c r="F148" s="197" t="s">
        <v>290</v>
      </c>
      <c r="G148" s="197" t="s">
        <v>261</v>
      </c>
      <c r="H148" s="215">
        <f>IF(H141="NO","-",VLOOKUP(H141,Screws!AG6:AP34,5,FALSE))</f>
        <v>60</v>
      </c>
      <c r="I148" s="215">
        <f t="shared" si="2"/>
        <v>60</v>
      </c>
      <c r="N148" s="184"/>
    </row>
    <row r="149" spans="4:14" ht="20.100000000000001" customHeight="1" x14ac:dyDescent="0.2">
      <c r="D149" s="183"/>
      <c r="E149" s="99" t="str">
        <f>Translation!B116</f>
        <v>Longitud rosca</v>
      </c>
      <c r="F149" s="197" t="s">
        <v>294</v>
      </c>
      <c r="G149" s="197" t="s">
        <v>261</v>
      </c>
      <c r="H149" s="215">
        <f>IF(H141="NO","-",VLOOKUP(H141,Screws!AG6:AP34,6,FALSE))</f>
        <v>56</v>
      </c>
      <c r="I149" s="215">
        <f t="shared" si="2"/>
        <v>56</v>
      </c>
      <c r="N149" s="184"/>
    </row>
    <row r="150" spans="4:14" ht="20.100000000000001" customHeight="1" x14ac:dyDescent="0.2">
      <c r="D150" s="183"/>
      <c r="E150" s="99" t="str">
        <f>Translation!B117</f>
        <v>Parámetro característico extracción</v>
      </c>
      <c r="F150" s="197" t="s">
        <v>295</v>
      </c>
      <c r="G150" s="197" t="s">
        <v>299</v>
      </c>
      <c r="H150" s="215">
        <f>IF(H141="NO","-",VLOOKUP(H141,Screws!AG6:AP34,7,FALSE))</f>
        <v>11.7</v>
      </c>
      <c r="I150" s="215">
        <f t="shared" si="2"/>
        <v>11.7</v>
      </c>
      <c r="N150" s="184"/>
    </row>
    <row r="151" spans="4:14" ht="20.100000000000001" customHeight="1" x14ac:dyDescent="0.2">
      <c r="D151" s="183"/>
      <c r="E151" s="99" t="str">
        <f>Translation!B118</f>
        <v>Densidad asociada</v>
      </c>
      <c r="F151" s="197" t="s">
        <v>296</v>
      </c>
      <c r="G151" s="197" t="s">
        <v>300</v>
      </c>
      <c r="H151" s="215">
        <f>IF(H141="NO","-",VLOOKUP(H141,Screws!AG6:AP34,8,FALSE))</f>
        <v>350</v>
      </c>
      <c r="I151" s="215">
        <f t="shared" si="2"/>
        <v>350</v>
      </c>
      <c r="N151" s="184"/>
    </row>
    <row r="152" spans="4:14" ht="20.100000000000001" customHeight="1" x14ac:dyDescent="0.2">
      <c r="D152" s="183"/>
      <c r="E152" s="99" t="str">
        <f>Translation!B119</f>
        <v>Resistencia característica de tracción</v>
      </c>
      <c r="F152" s="197" t="s">
        <v>297</v>
      </c>
      <c r="G152" s="197" t="s">
        <v>258</v>
      </c>
      <c r="H152" s="215">
        <f>IF(H141="NO","-",VLOOKUP(H141,Screws!AG6:AP34,9,FALSE))</f>
        <v>7.9</v>
      </c>
      <c r="I152" s="215">
        <f t="shared" si="2"/>
        <v>7.9</v>
      </c>
      <c r="N152" s="184"/>
    </row>
    <row r="153" spans="4:14" ht="20.100000000000001" customHeight="1" x14ac:dyDescent="0.2">
      <c r="D153" s="186"/>
      <c r="E153" s="99" t="str">
        <f>Translation!B120</f>
        <v>Momento plástico característico</v>
      </c>
      <c r="F153" s="197" t="s">
        <v>323</v>
      </c>
      <c r="G153" s="197" t="s">
        <v>324</v>
      </c>
      <c r="H153" s="215">
        <f>IF(H141="NO","-",VLOOKUP(H141,Screws!AG6:AP34,10,FALSE))</f>
        <v>5.4</v>
      </c>
      <c r="I153" s="215">
        <f t="shared" si="2"/>
        <v>5.4</v>
      </c>
      <c r="N153" s="184"/>
    </row>
    <row r="154" spans="4:14" ht="9.9499999999999993" customHeight="1" x14ac:dyDescent="0.2">
      <c r="D154" s="186"/>
      <c r="N154" s="184"/>
    </row>
    <row r="155" spans="4:14" ht="30" customHeight="1" x14ac:dyDescent="0.2">
      <c r="D155" s="186"/>
      <c r="E155" s="221" t="str">
        <f>Translation!B141</f>
        <v>6. Comprobaciones de diseño para direcciones individuales</v>
      </c>
      <c r="F155" s="221"/>
      <c r="G155" s="221"/>
      <c r="H155" s="221"/>
      <c r="I155" s="221"/>
      <c r="J155" s="221"/>
      <c r="K155" s="221"/>
      <c r="L155" s="221"/>
      <c r="M155" s="221"/>
      <c r="N155" s="184"/>
    </row>
    <row r="156" spans="4:14" ht="9.9499999999999993" customHeight="1" x14ac:dyDescent="0.2">
      <c r="D156" s="186"/>
      <c r="E156" s="196"/>
      <c r="F156" s="100"/>
      <c r="G156" s="100"/>
      <c r="N156" s="184"/>
    </row>
    <row r="157" spans="4:14" ht="20.100000000000001" customHeight="1" x14ac:dyDescent="0.2">
      <c r="D157" s="186"/>
      <c r="E157" s="372" t="str">
        <f>Translation!B142</f>
        <v>El dimensionamiento y la vida útil de los elementos de madera deben efectuarse por separado. En concreto, para cargas perpendiculares al eje de las vigas, se aconseja realizar una comprobación por separado de ambos elementos de madera.</v>
      </c>
      <c r="F157" s="100"/>
      <c r="G157" s="100"/>
      <c r="N157" s="184"/>
    </row>
    <row r="158" spans="4:14" ht="20.100000000000001" customHeight="1" x14ac:dyDescent="0.2">
      <c r="D158" s="186"/>
      <c r="E158" s="372"/>
      <c r="F158" s="100"/>
      <c r="G158" s="100"/>
      <c r="N158" s="184"/>
    </row>
    <row r="159" spans="4:14" ht="20.100000000000001" customHeight="1" x14ac:dyDescent="0.2">
      <c r="D159" s="186"/>
      <c r="E159" s="372"/>
      <c r="F159" s="100"/>
      <c r="G159" s="100"/>
      <c r="N159" s="184"/>
    </row>
    <row r="160" spans="4:14" ht="20.100000000000001" customHeight="1" x14ac:dyDescent="0.2">
      <c r="D160" s="186"/>
      <c r="E160" s="372"/>
      <c r="F160" s="100"/>
      <c r="G160" s="100"/>
      <c r="N160" s="184"/>
    </row>
    <row r="161" spans="4:29" ht="20.100000000000001" customHeight="1" x14ac:dyDescent="0.2">
      <c r="D161" s="186"/>
      <c r="E161" s="372"/>
      <c r="F161" s="100"/>
      <c r="G161" s="100"/>
      <c r="N161" s="184"/>
    </row>
    <row r="162" spans="4:29" ht="9.9499999999999993" customHeight="1" x14ac:dyDescent="0.2">
      <c r="D162" s="186"/>
      <c r="E162" s="100"/>
      <c r="F162" s="100"/>
      <c r="G162" s="100"/>
      <c r="N162" s="184"/>
    </row>
    <row r="163" spans="4:29" ht="9.9499999999999993" customHeight="1" x14ac:dyDescent="0.2">
      <c r="D163" s="186"/>
      <c r="E163" s="100"/>
      <c r="F163" s="100"/>
      <c r="G163" s="100"/>
      <c r="N163" s="184"/>
    </row>
    <row r="164" spans="4:29" ht="9.9499999999999993" customHeight="1" x14ac:dyDescent="0.2">
      <c r="D164" s="183"/>
      <c r="H164" s="99"/>
      <c r="I164" s="99"/>
      <c r="N164" s="184"/>
    </row>
    <row r="165" spans="4:29" ht="9.9499999999999993" customHeight="1" x14ac:dyDescent="0.2">
      <c r="D165" s="183"/>
      <c r="F165" s="100"/>
      <c r="G165" s="100"/>
      <c r="N165" s="184"/>
      <c r="AB165" s="99" t="str">
        <f>Translation!B3</f>
        <v>No</v>
      </c>
      <c r="AC165" s="99" t="str">
        <f>Translation!B2</f>
        <v>Sí</v>
      </c>
    </row>
    <row r="166" spans="4:29" ht="39.950000000000003" customHeight="1" x14ac:dyDescent="0.2">
      <c r="D166" s="183"/>
      <c r="E166" s="196"/>
      <c r="F166" s="100"/>
      <c r="G166" s="100"/>
      <c r="N166" s="184"/>
      <c r="AB166" s="99" t="s">
        <v>142</v>
      </c>
      <c r="AC166" s="99" t="s">
        <v>143</v>
      </c>
    </row>
    <row r="167" spans="4:29" ht="20.100000000000001" customHeight="1" x14ac:dyDescent="0.2">
      <c r="D167" s="183"/>
      <c r="E167" s="203" t="str">
        <f>Translation!B143</f>
        <v>6.1 Corte vertical (Fv)</v>
      </c>
      <c r="F167" s="100"/>
      <c r="G167" s="100"/>
      <c r="N167" s="184"/>
      <c r="AB167" s="99" t="s">
        <v>139</v>
      </c>
      <c r="AC167" s="99" t="s">
        <v>139</v>
      </c>
    </row>
    <row r="168" spans="4:29" ht="9.9499999999999993" customHeight="1" x14ac:dyDescent="0.2">
      <c r="D168" s="183"/>
      <c r="E168" s="100"/>
      <c r="F168" s="100"/>
      <c r="G168" s="100"/>
      <c r="N168" s="184"/>
      <c r="AA168" s="99" t="s">
        <v>144</v>
      </c>
      <c r="AB168" s="99">
        <v>1.5</v>
      </c>
      <c r="AC168" s="99">
        <v>1.4</v>
      </c>
    </row>
    <row r="169" spans="4:29" ht="20.100000000000001" customHeight="1" x14ac:dyDescent="0.2">
      <c r="D169" s="183"/>
      <c r="E169" s="99" t="str">
        <f>Translation!B144</f>
        <v>Resistencia característica al aplastamiento del elemento principal</v>
      </c>
      <c r="F169" s="99" t="s">
        <v>414</v>
      </c>
      <c r="G169" s="99" t="s">
        <v>415</v>
      </c>
      <c r="H169" s="263">
        <f>V_downward!AO6</f>
        <v>17.609424784823478</v>
      </c>
      <c r="N169" s="184"/>
    </row>
    <row r="170" spans="4:29" ht="30" customHeight="1" x14ac:dyDescent="0.2">
      <c r="D170" s="183"/>
      <c r="E170" s="261" t="str">
        <f>Translation!B145</f>
        <v>Capacidad axial característica de un tornillo en el elemento principal</v>
      </c>
      <c r="F170" s="99" t="s">
        <v>413</v>
      </c>
      <c r="G170" s="99" t="s">
        <v>416</v>
      </c>
      <c r="H170" s="262">
        <f>V_downward!AU6</f>
        <v>6364.0055001584997</v>
      </c>
      <c r="N170" s="184"/>
    </row>
    <row r="171" spans="4:29" ht="30" customHeight="1" x14ac:dyDescent="0.2">
      <c r="D171" s="183"/>
      <c r="E171" s="261" t="str">
        <f>Translation!B146</f>
        <v>Capacidad de carga característica para el plano de corte para la fijación del elemento principal</v>
      </c>
      <c r="F171" s="99" t="s">
        <v>412</v>
      </c>
      <c r="G171" s="99" t="s">
        <v>416</v>
      </c>
      <c r="H171" s="262">
        <f>V_downward!AX6</f>
        <v>3740.7152391283153</v>
      </c>
      <c r="N171" s="184"/>
    </row>
    <row r="172" spans="4:29" ht="20.100000000000001" customHeight="1" x14ac:dyDescent="0.2">
      <c r="D172" s="183"/>
      <c r="E172" s="261" t="str">
        <f>Translation!B147</f>
        <v>Factor de forma</v>
      </c>
      <c r="F172" s="99" t="s">
        <v>119</v>
      </c>
      <c r="G172" s="99" t="s">
        <v>262</v>
      </c>
      <c r="H172" s="262">
        <f>V_downward!AZ6</f>
        <v>144</v>
      </c>
      <c r="N172" s="184"/>
    </row>
    <row r="173" spans="4:29" ht="20.100000000000001" customHeight="1" x14ac:dyDescent="0.2">
      <c r="D173" s="183"/>
      <c r="E173" s="261" t="str">
        <f>Translation!B148</f>
        <v>Resistencia característica elemento principal</v>
      </c>
      <c r="F173" s="99" t="s">
        <v>437</v>
      </c>
      <c r="G173" s="99" t="s">
        <v>258</v>
      </c>
      <c r="H173" s="204">
        <f>IF(H99=2,(V_downward!$BA$6+secondo_V_downward!$BA$6)/1000,V_downward!$BA$6/1000)</f>
        <v>133.23491046445054</v>
      </c>
      <c r="I173" s="204"/>
      <c r="N173" s="184"/>
    </row>
    <row r="174" spans="4:29" ht="9.9499999999999993" customHeight="1" x14ac:dyDescent="0.2">
      <c r="D174" s="183"/>
      <c r="E174" s="99" t="s">
        <v>434</v>
      </c>
      <c r="H174" s="204"/>
      <c r="I174" s="204"/>
      <c r="N174" s="184"/>
    </row>
    <row r="175" spans="4:29" ht="20.100000000000001" customHeight="1" x14ac:dyDescent="0.2">
      <c r="D175" s="183"/>
      <c r="E175" s="99" t="str">
        <f>Translation!B149</f>
        <v>Resistencia característica aluminio</v>
      </c>
      <c r="F175" s="99" t="s">
        <v>438</v>
      </c>
      <c r="G175" s="99" t="s">
        <v>258</v>
      </c>
      <c r="H175" s="204">
        <f>IF(H99=2,(V_downward!$BB$6+secondo_V_downward!$BB$6)/1000,V_downward!$BB$6/1000)</f>
        <v>96</v>
      </c>
      <c r="I175" s="204"/>
      <c r="N175" s="184"/>
    </row>
    <row r="176" spans="4:29" ht="9.9499999999999993" customHeight="1" x14ac:dyDescent="0.2">
      <c r="D176" s="183"/>
      <c r="H176" s="204"/>
      <c r="I176" s="204"/>
      <c r="N176" s="184"/>
    </row>
    <row r="177" spans="4:32" ht="20.100000000000001" customHeight="1" x14ac:dyDescent="0.2">
      <c r="D177" s="183"/>
      <c r="E177" s="261" t="str">
        <f>Translation!B150</f>
        <v>Resistencia característica al aplastamiento del elemento secundario</v>
      </c>
      <c r="F177" s="99" t="s">
        <v>417</v>
      </c>
      <c r="G177" s="99" t="s">
        <v>415</v>
      </c>
      <c r="H177" s="204">
        <f>V_downward!R6</f>
        <v>6.7693373198801936</v>
      </c>
      <c r="I177" s="204"/>
      <c r="N177" s="184"/>
    </row>
    <row r="178" spans="4:32" ht="30" customHeight="1" x14ac:dyDescent="0.2">
      <c r="D178" s="183"/>
      <c r="E178" s="261" t="str">
        <f>Translation!B151</f>
        <v>Capacidad axial característica de un tornillo en el elemento secundario</v>
      </c>
      <c r="F178" s="99" t="s">
        <v>418</v>
      </c>
      <c r="G178" s="99" t="s">
        <v>416</v>
      </c>
      <c r="H178" s="262">
        <f>V_downward!Y6</f>
        <v>6164.8617526610669</v>
      </c>
      <c r="I178" s="204"/>
      <c r="N178" s="184"/>
    </row>
    <row r="179" spans="4:32" ht="30" customHeight="1" x14ac:dyDescent="0.2">
      <c r="D179" s="183"/>
      <c r="E179" s="261" t="str">
        <f>Translation!B152</f>
        <v>Capacidad de carga característica para el plano de corte para la fijación del elemento secundario</v>
      </c>
      <c r="F179" s="99" t="s">
        <v>419</v>
      </c>
      <c r="G179" s="99" t="s">
        <v>416</v>
      </c>
      <c r="H179" s="262">
        <f>V_downward!AB6</f>
        <v>2617.1958117017621</v>
      </c>
      <c r="I179" s="204"/>
      <c r="N179" s="184"/>
    </row>
    <row r="180" spans="4:32" ht="20.100000000000001" customHeight="1" x14ac:dyDescent="0.2">
      <c r="D180" s="183"/>
      <c r="E180" s="99" t="str">
        <f>Translation!B153</f>
        <v>Resistencia característica elemento secundario</v>
      </c>
      <c r="F180" s="99" t="s">
        <v>439</v>
      </c>
      <c r="G180" s="99" t="s">
        <v>258</v>
      </c>
      <c r="H180" s="204">
        <f>IF(H99=2,(V_downward!$AC$6+secondo_V_downward!$AC$6)/1000,V_downward!$AC$6/1000)</f>
        <v>94.219049221263447</v>
      </c>
      <c r="I180" s="204"/>
      <c r="N180" s="184"/>
    </row>
    <row r="181" spans="4:32" ht="9.9499999999999993" customHeight="1" x14ac:dyDescent="0.2">
      <c r="D181" s="183"/>
      <c r="E181" s="100"/>
      <c r="F181" s="205"/>
      <c r="H181" s="206"/>
      <c r="I181" s="206"/>
      <c r="N181" s="184"/>
      <c r="AA181" s="99" t="s">
        <v>141</v>
      </c>
      <c r="AB181" s="99" t="str">
        <f>Translation!B128</f>
        <v>Permanente</v>
      </c>
      <c r="AC181" s="99" t="str">
        <f>Translation!B129</f>
        <v>Larga duración</v>
      </c>
      <c r="AD181" s="99" t="str">
        <f>Translation!B130</f>
        <v>Media duración</v>
      </c>
      <c r="AE181" s="99" t="str">
        <f>Translation!B131</f>
        <v>Corta duración</v>
      </c>
      <c r="AF181" s="99" t="str">
        <f>Translation!B132</f>
        <v>Instantáneo</v>
      </c>
    </row>
    <row r="182" spans="4:32" ht="20.100000000000001" customHeight="1" x14ac:dyDescent="0.2">
      <c r="D182" s="183"/>
      <c r="E182" s="99" t="str">
        <f>Translation!B154</f>
        <v>Resistencia característica</v>
      </c>
      <c r="F182" s="197" t="s">
        <v>266</v>
      </c>
      <c r="G182" s="197" t="s">
        <v>258</v>
      </c>
      <c r="H182" s="207">
        <f>IF(H99=2,V_downward!$BC$6+secondo_V_downward!$BC$6,V_downward!$BC$6)</f>
        <v>94.219049221263447</v>
      </c>
      <c r="I182" s="207"/>
      <c r="N182" s="184"/>
      <c r="AA182" s="99">
        <v>1</v>
      </c>
      <c r="AB182" s="102">
        <v>0.6</v>
      </c>
      <c r="AC182" s="102">
        <v>0.7</v>
      </c>
      <c r="AD182" s="102">
        <v>0.8</v>
      </c>
      <c r="AE182" s="102">
        <v>0.9</v>
      </c>
      <c r="AF182" s="102">
        <v>1.1000000000000001</v>
      </c>
    </row>
    <row r="183" spans="4:32" ht="20.100000000000001" customHeight="1" x14ac:dyDescent="0.2">
      <c r="D183" s="183"/>
      <c r="E183" s="99" t="str">
        <f>Translation!B155</f>
        <v>Resistencia de diseño</v>
      </c>
      <c r="F183" s="197" t="s">
        <v>267</v>
      </c>
      <c r="G183" s="197" t="s">
        <v>258</v>
      </c>
      <c r="H183" s="207">
        <f>MIN(($H$47*MIN(H173,H180))/$H$50,H175/H51)</f>
        <v>57.980953366931352</v>
      </c>
      <c r="I183" s="207"/>
      <c r="N183" s="184"/>
      <c r="AA183" s="99">
        <v>2</v>
      </c>
      <c r="AB183" s="102">
        <v>0.6</v>
      </c>
      <c r="AC183" s="102">
        <v>0.7</v>
      </c>
      <c r="AD183" s="102">
        <v>0.8</v>
      </c>
      <c r="AE183" s="102">
        <v>0.9</v>
      </c>
      <c r="AF183" s="102">
        <v>1.1000000000000001</v>
      </c>
    </row>
    <row r="184" spans="4:32" ht="20.100000000000001" customHeight="1" x14ac:dyDescent="0.2">
      <c r="D184" s="183"/>
      <c r="E184" s="99" t="str">
        <f>Translation!B33</f>
        <v>Acción de corte vertical</v>
      </c>
      <c r="F184" s="99" t="s">
        <v>1325</v>
      </c>
      <c r="G184" s="99" t="s">
        <v>258</v>
      </c>
      <c r="H184" s="204">
        <f>H56</f>
        <v>4</v>
      </c>
      <c r="I184" s="207"/>
      <c r="N184" s="184"/>
      <c r="AA184" s="99">
        <v>3</v>
      </c>
      <c r="AB184" s="102">
        <v>0.5</v>
      </c>
      <c r="AC184" s="102">
        <v>0.55000000000000004</v>
      </c>
      <c r="AD184" s="102">
        <v>0.65</v>
      </c>
      <c r="AE184" s="102">
        <v>0.7</v>
      </c>
      <c r="AF184" s="102">
        <v>0.9</v>
      </c>
    </row>
    <row r="185" spans="4:32" ht="30" customHeight="1" x14ac:dyDescent="0.2">
      <c r="D185" s="183"/>
      <c r="E185" s="99" t="str">
        <f>Translation!B156</f>
        <v>Comprobación de la conexión</v>
      </c>
      <c r="F185" s="392" t="str">
        <f>IF(H185&gt;1,Translation!B209,Translation!B208)</f>
        <v>VERIFICADO</v>
      </c>
      <c r="G185" s="392"/>
      <c r="H185" s="260">
        <f>$H$56/H183</f>
        <v>6.8988172282819782E-2</v>
      </c>
      <c r="I185" s="231"/>
      <c r="N185" s="184"/>
    </row>
    <row r="186" spans="4:32" ht="9.9499999999999993" customHeight="1" x14ac:dyDescent="0.2">
      <c r="D186" s="183"/>
      <c r="F186" s="197"/>
      <c r="G186" s="395"/>
      <c r="H186" s="395"/>
      <c r="I186" s="205"/>
      <c r="N186" s="184"/>
    </row>
    <row r="187" spans="4:32" ht="9.9499999999999993" customHeight="1" x14ac:dyDescent="0.2">
      <c r="D187" s="183"/>
      <c r="E187" s="232"/>
      <c r="F187" s="233"/>
      <c r="G187" s="232"/>
      <c r="H187" s="234"/>
      <c r="I187" s="234"/>
      <c r="J187" s="232"/>
      <c r="K187" s="232"/>
      <c r="L187" s="232"/>
      <c r="M187" s="232"/>
      <c r="N187" s="184"/>
    </row>
    <row r="188" spans="4:32" ht="20.100000000000001" customHeight="1" x14ac:dyDescent="0.2">
      <c r="D188" s="183"/>
      <c r="E188" s="203" t="str">
        <f>Translation!B157</f>
        <v>6.2 Corte vertical de elevación (Fup)</v>
      </c>
      <c r="F188" s="197"/>
      <c r="N188" s="184"/>
    </row>
    <row r="189" spans="4:32" ht="9.9499999999999993" customHeight="1" x14ac:dyDescent="0.2">
      <c r="D189" s="183"/>
      <c r="E189" s="203"/>
      <c r="F189" s="197"/>
      <c r="N189" s="184"/>
    </row>
    <row r="190" spans="4:32" ht="20.100000000000001" customHeight="1" x14ac:dyDescent="0.2">
      <c r="D190" s="183"/>
      <c r="E190" s="99" t="str">
        <f>Translation!B158</f>
        <v>Resistencia característica al aplastamiento</v>
      </c>
      <c r="F190" s="99" t="s">
        <v>420</v>
      </c>
      <c r="G190" s="99" t="s">
        <v>415</v>
      </c>
      <c r="H190" s="204">
        <f>IF(H141="NO","-",Uplift!AO6)</f>
        <v>19.479759046070704</v>
      </c>
      <c r="N190" s="184"/>
    </row>
    <row r="191" spans="4:32" ht="20.100000000000001" customHeight="1" x14ac:dyDescent="0.2">
      <c r="D191" s="183"/>
      <c r="E191" s="99" t="str">
        <f>Translation!B159</f>
        <v>Capacidad axial característica de un tornillo inclinado</v>
      </c>
      <c r="F191" s="99" t="s">
        <v>421</v>
      </c>
      <c r="G191" s="99" t="s">
        <v>416</v>
      </c>
      <c r="H191" s="262">
        <f>IF(H141="NO","-",Uplift!AU6)</f>
        <v>3030.4788095992858</v>
      </c>
      <c r="N191" s="184"/>
    </row>
    <row r="192" spans="4:32" ht="20.100000000000001" customHeight="1" x14ac:dyDescent="0.2">
      <c r="D192" s="183"/>
      <c r="E192" s="99" t="str">
        <f>Translation!B160</f>
        <v>Resistencia característica elemento principal</v>
      </c>
      <c r="F192" s="99" t="s">
        <v>440</v>
      </c>
      <c r="G192" s="99" t="s">
        <v>258</v>
      </c>
      <c r="H192" s="204">
        <f>IF(H141="NO","-",Uplift!$BA$6/1000)</f>
        <v>7.2321933932205456</v>
      </c>
      <c r="I192" s="204"/>
      <c r="N192" s="184"/>
    </row>
    <row r="193" spans="4:14" ht="9.9499999999999993" customHeight="1" x14ac:dyDescent="0.2">
      <c r="D193" s="183"/>
      <c r="F193" s="197"/>
      <c r="G193" s="197"/>
      <c r="H193" s="204"/>
      <c r="I193" s="204"/>
      <c r="N193" s="184"/>
    </row>
    <row r="194" spans="4:14" ht="20.100000000000001" customHeight="1" x14ac:dyDescent="0.2">
      <c r="D194" s="183"/>
      <c r="E194" s="99" t="str">
        <f>Translation!B161</f>
        <v>Resistencia característica aluminio</v>
      </c>
      <c r="F194" s="99" t="s">
        <v>438</v>
      </c>
      <c r="G194" s="99" t="s">
        <v>258</v>
      </c>
      <c r="H194" s="204">
        <f>IF(H141="NO","-",IF(H99=2,(0.5*Uplift!$BB$6+0.5*secondo_Uplift!$BB$6)/1000,(0.5*Uplift!$BB$6)/1000))</f>
        <v>48</v>
      </c>
      <c r="I194" s="253"/>
      <c r="N194" s="184"/>
    </row>
    <row r="195" spans="4:14" ht="9.9499999999999993" customHeight="1" x14ac:dyDescent="0.2">
      <c r="D195" s="183"/>
      <c r="F195" s="197"/>
      <c r="G195" s="197"/>
      <c r="H195" s="204"/>
      <c r="I195" s="253"/>
      <c r="N195" s="184"/>
    </row>
    <row r="196" spans="4:14" ht="20.100000000000001" customHeight="1" x14ac:dyDescent="0.2">
      <c r="D196" s="183"/>
      <c r="E196" s="99" t="str">
        <f>Translation!B162</f>
        <v>Resistencia característica al aplastamiento</v>
      </c>
      <c r="F196" s="99" t="s">
        <v>417</v>
      </c>
      <c r="G196" s="99" t="s">
        <v>415</v>
      </c>
      <c r="H196" s="204">
        <f>IF(H141="NO","-",Uplift!R6)</f>
        <v>6.7693373198801936</v>
      </c>
      <c r="I196" s="253"/>
      <c r="N196" s="184"/>
    </row>
    <row r="197" spans="4:14" ht="20.100000000000001" customHeight="1" x14ac:dyDescent="0.2">
      <c r="D197" s="183"/>
      <c r="E197" s="99" t="str">
        <f>Translation!B163</f>
        <v>Capacidad axial característica de un tornillo inclinado</v>
      </c>
      <c r="F197" s="99" t="s">
        <v>418</v>
      </c>
      <c r="G197" s="99" t="s">
        <v>416</v>
      </c>
      <c r="H197" s="262">
        <f>IF(H141="NO","-",Uplift!Y6)</f>
        <v>6164.8617526610669</v>
      </c>
      <c r="I197" s="253"/>
      <c r="N197" s="184"/>
    </row>
    <row r="198" spans="4:14" ht="30" customHeight="1" x14ac:dyDescent="0.2">
      <c r="D198" s="183"/>
      <c r="E198" s="261" t="str">
        <f>Translation!B164</f>
        <v>Capacidad de carga característica para el plano de corte para la fijación del elemento secundario</v>
      </c>
      <c r="F198" s="99" t="s">
        <v>419</v>
      </c>
      <c r="G198" s="99" t="s">
        <v>416</v>
      </c>
      <c r="H198" s="262">
        <f>IF(H141="NO","-",Uplift!AB6)</f>
        <v>2617.1958117017621</v>
      </c>
      <c r="I198" s="253"/>
      <c r="N198" s="184"/>
    </row>
    <row r="199" spans="4:14" ht="20.100000000000001" customHeight="1" x14ac:dyDescent="0.2">
      <c r="D199" s="183"/>
      <c r="E199" s="99" t="str">
        <f>Translation!B165</f>
        <v>Resistencia característica elemento secundario</v>
      </c>
      <c r="F199" s="99" t="s">
        <v>441</v>
      </c>
      <c r="G199" s="99" t="s">
        <v>258</v>
      </c>
      <c r="H199" s="204">
        <f>IF(H141="NO","-",IF(H99=2,(Uplift!$AC$6+secondo_Uplift!$AC$6)/1000,Uplift!$AC$6/1000))</f>
        <v>94.219049221263447</v>
      </c>
      <c r="I199" s="204"/>
      <c r="N199" s="184"/>
    </row>
    <row r="200" spans="4:14" ht="9.9499999999999993" customHeight="1" x14ac:dyDescent="0.2">
      <c r="D200" s="183"/>
      <c r="E200" s="100"/>
      <c r="F200" s="205"/>
      <c r="H200" s="207"/>
      <c r="I200" s="244"/>
      <c r="N200" s="184"/>
    </row>
    <row r="201" spans="4:14" ht="20.100000000000001" customHeight="1" x14ac:dyDescent="0.2">
      <c r="D201" s="183"/>
      <c r="E201" s="99" t="str">
        <f>Translation!B166</f>
        <v>Resistencia característica</v>
      </c>
      <c r="F201" s="197" t="s">
        <v>268</v>
      </c>
      <c r="G201" s="197" t="s">
        <v>258</v>
      </c>
      <c r="H201" s="207">
        <f>IF(H141="NO","-",Uplift!$BC$6)</f>
        <v>7.2321933932205456</v>
      </c>
      <c r="I201" s="207"/>
      <c r="N201" s="184"/>
    </row>
    <row r="202" spans="4:14" ht="20.100000000000001" customHeight="1" x14ac:dyDescent="0.2">
      <c r="D202" s="183"/>
      <c r="E202" s="99" t="str">
        <f>Translation!B167</f>
        <v>Resistencia de diseño</v>
      </c>
      <c r="F202" s="197" t="s">
        <v>269</v>
      </c>
      <c r="G202" s="197" t="s">
        <v>258</v>
      </c>
      <c r="H202" s="207">
        <f>IF(H141="NO","-",MIN(($H$47*MIN(H192,H199))/$H$50,H194/H51))</f>
        <v>4.4505805496741822</v>
      </c>
      <c r="I202" s="207"/>
      <c r="N202" s="184"/>
    </row>
    <row r="203" spans="4:14" ht="20.100000000000001" customHeight="1" x14ac:dyDescent="0.2">
      <c r="D203" s="183"/>
      <c r="E203" s="99" t="str">
        <f>Translation!B34</f>
        <v>Acción de corte por elevación</v>
      </c>
      <c r="F203" s="99" t="s">
        <v>1326</v>
      </c>
      <c r="G203" s="99" t="s">
        <v>258</v>
      </c>
      <c r="H203" s="204">
        <f>H57</f>
        <v>1</v>
      </c>
      <c r="I203" s="207"/>
      <c r="N203" s="184"/>
    </row>
    <row r="204" spans="4:14" ht="30" customHeight="1" x14ac:dyDescent="0.2">
      <c r="D204" s="183"/>
      <c r="E204" s="99" t="str">
        <f>Translation!B168</f>
        <v>Comprobación de la conexión</v>
      </c>
      <c r="F204" s="392" t="str">
        <f>IF(H141="NO","-",IF(H204&gt;1,Translation!B209,Translation!B208))</f>
        <v>VERIFICADO</v>
      </c>
      <c r="G204" s="392"/>
      <c r="H204" s="260">
        <f>IF(H141="NO","-",$H$57/H202)</f>
        <v>0.22468978795883335</v>
      </c>
      <c r="I204" s="185"/>
      <c r="N204" s="184"/>
    </row>
    <row r="205" spans="4:14" ht="9.9499999999999993" customHeight="1" x14ac:dyDescent="0.2">
      <c r="D205" s="183"/>
      <c r="F205" s="197"/>
      <c r="N205" s="184"/>
    </row>
    <row r="206" spans="4:14" ht="9.9499999999999993" customHeight="1" x14ac:dyDescent="0.2">
      <c r="D206" s="183"/>
      <c r="E206" s="232"/>
      <c r="F206" s="233"/>
      <c r="G206" s="232"/>
      <c r="H206" s="234"/>
      <c r="I206" s="234"/>
      <c r="J206" s="232"/>
      <c r="K206" s="232"/>
      <c r="L206" s="232"/>
      <c r="M206" s="232"/>
      <c r="N206" s="184"/>
    </row>
    <row r="207" spans="4:14" ht="20.100000000000001" customHeight="1" x14ac:dyDescent="0.2">
      <c r="D207" s="183"/>
      <c r="E207" s="203" t="str">
        <f>Translation!B169</f>
        <v>6.3 Axial (Fax)</v>
      </c>
      <c r="F207" s="197"/>
      <c r="N207" s="184"/>
    </row>
    <row r="208" spans="4:14" ht="9.9499999999999993" customHeight="1" x14ac:dyDescent="0.2">
      <c r="D208" s="183"/>
      <c r="F208" s="197"/>
      <c r="N208" s="184"/>
    </row>
    <row r="209" spans="4:14" ht="20.100000000000001" customHeight="1" x14ac:dyDescent="0.2">
      <c r="D209" s="183"/>
      <c r="E209" s="99" t="str">
        <f>Translation!B170</f>
        <v>Resistencia característica elemento principal</v>
      </c>
      <c r="F209" s="99" t="s">
        <v>442</v>
      </c>
      <c r="G209" s="99" t="s">
        <v>258</v>
      </c>
      <c r="H209" s="204">
        <f>IF(H99=2,(Axial!$AX$6+secondo_Axial!$AX$6)/1000,Axial!$AX$6/1000)</f>
        <v>46.283676364789081</v>
      </c>
      <c r="I209" s="204"/>
      <c r="N209" s="184"/>
    </row>
    <row r="210" spans="4:14" ht="20.100000000000001" customHeight="1" x14ac:dyDescent="0.2">
      <c r="D210" s="183"/>
      <c r="E210" s="99" t="str">
        <f>Translation!B171</f>
        <v>Resistencia característica aluminio</v>
      </c>
      <c r="F210" s="99" t="s">
        <v>443</v>
      </c>
      <c r="G210" s="99" t="s">
        <v>258</v>
      </c>
      <c r="H210" s="204">
        <f>IF(H99=2,(Axial!$AZ$6+secondo_Axial!$AZ$6)/1000,Axial!$AZ$6/1000)</f>
        <v>11.2</v>
      </c>
      <c r="I210" s="253"/>
      <c r="N210" s="184"/>
    </row>
    <row r="211" spans="4:14" ht="20.100000000000001" customHeight="1" x14ac:dyDescent="0.2">
      <c r="D211" s="183"/>
      <c r="E211" s="99" t="str">
        <f>Translation!B172</f>
        <v>Resistencia característica elemento secundario</v>
      </c>
      <c r="F211" s="99" t="s">
        <v>444</v>
      </c>
      <c r="G211" s="99" t="s">
        <v>258</v>
      </c>
      <c r="H211" s="204">
        <f>IF(H99=2,(Axial!$AY$6+secondo_Axial!$AY$6)/1000,Axial!$AY$6/1000)</f>
        <v>13.450607460351417</v>
      </c>
      <c r="I211" s="204"/>
      <c r="N211" s="184"/>
    </row>
    <row r="212" spans="4:14" ht="9.9499999999999993" customHeight="1" x14ac:dyDescent="0.2">
      <c r="D212" s="183"/>
      <c r="E212" s="100"/>
      <c r="F212" s="205"/>
      <c r="H212" s="207"/>
      <c r="I212" s="207"/>
      <c r="N212" s="184"/>
    </row>
    <row r="213" spans="4:14" ht="20.100000000000001" customHeight="1" x14ac:dyDescent="0.2">
      <c r="D213" s="183"/>
      <c r="E213" s="99" t="str">
        <f>Translation!B173</f>
        <v>Resistencia característica</v>
      </c>
      <c r="F213" s="197" t="s">
        <v>270</v>
      </c>
      <c r="G213" s="197" t="s">
        <v>258</v>
      </c>
      <c r="H213" s="207">
        <f>IF(H99=2,Axial!$BA$6+secondo_Axial!$BA$6,Axial!$BA$6)</f>
        <v>11.2</v>
      </c>
      <c r="I213" s="207"/>
      <c r="N213" s="184"/>
    </row>
    <row r="214" spans="4:14" ht="20.100000000000001" customHeight="1" x14ac:dyDescent="0.2">
      <c r="D214" s="183"/>
      <c r="E214" s="99" t="str">
        <f>Translation!B174</f>
        <v>Resistencia de diseño</v>
      </c>
      <c r="F214" s="197" t="s">
        <v>271</v>
      </c>
      <c r="G214" s="197" t="s">
        <v>258</v>
      </c>
      <c r="H214" s="207">
        <f>MIN(($H$47*MIN(H209,H211))/$H$50,H210/H51)</f>
        <v>8.2772968986777951</v>
      </c>
      <c r="I214" s="207"/>
      <c r="N214" s="184"/>
    </row>
    <row r="215" spans="4:14" ht="20.100000000000001" customHeight="1" x14ac:dyDescent="0.2">
      <c r="D215" s="183"/>
      <c r="E215" s="99" t="str">
        <f>Translation!B35</f>
        <v>Acción axial</v>
      </c>
      <c r="F215" s="99" t="s">
        <v>1327</v>
      </c>
      <c r="G215" s="99" t="s">
        <v>258</v>
      </c>
      <c r="H215" s="204">
        <f>H58</f>
        <v>2</v>
      </c>
      <c r="I215" s="207"/>
      <c r="N215" s="184"/>
    </row>
    <row r="216" spans="4:14" ht="30" customHeight="1" x14ac:dyDescent="0.2">
      <c r="D216" s="183"/>
      <c r="E216" s="99" t="str">
        <f>Translation!B175</f>
        <v>Comprobación de la conexión</v>
      </c>
      <c r="F216" s="392" t="str">
        <f>IF(H216&gt;1,Translation!B209,Translation!B208)</f>
        <v>VERIFICADO</v>
      </c>
      <c r="G216" s="392"/>
      <c r="H216" s="260">
        <f>$H$58/H214</f>
        <v>0.24162477490924331</v>
      </c>
      <c r="I216" s="185"/>
      <c r="N216" s="184"/>
    </row>
    <row r="217" spans="4:14" ht="9.9499999999999993" customHeight="1" x14ac:dyDescent="0.2">
      <c r="D217" s="183"/>
      <c r="F217" s="197"/>
      <c r="N217" s="184"/>
    </row>
    <row r="218" spans="4:14" ht="9.9499999999999993" customHeight="1" x14ac:dyDescent="0.2">
      <c r="D218" s="183"/>
      <c r="E218" s="232"/>
      <c r="F218" s="233"/>
      <c r="G218" s="232"/>
      <c r="H218" s="234"/>
      <c r="I218" s="234"/>
      <c r="J218" s="232"/>
      <c r="K218" s="232"/>
      <c r="L218" s="232"/>
      <c r="M218" s="232"/>
      <c r="N218" s="184"/>
    </row>
    <row r="219" spans="4:14" ht="20.100000000000001" customHeight="1" x14ac:dyDescent="0.2">
      <c r="D219" s="183"/>
      <c r="E219" s="203" t="str">
        <f>Translation!B176</f>
        <v>6.4 Corte lateral (Flat)</v>
      </c>
      <c r="F219" s="197"/>
      <c r="N219" s="184"/>
    </row>
    <row r="220" spans="4:14" ht="9.9499999999999993" customHeight="1" x14ac:dyDescent="0.2">
      <c r="D220" s="183"/>
      <c r="F220" s="197"/>
      <c r="N220" s="184"/>
    </row>
    <row r="221" spans="4:14" ht="20.100000000000001" customHeight="1" x14ac:dyDescent="0.2">
      <c r="D221" s="183"/>
      <c r="E221" s="261" t="str">
        <f>Translation!B177</f>
        <v>Número efectivo de tornillos para elemento secundario o principal</v>
      </c>
      <c r="F221" s="99" t="s">
        <v>173</v>
      </c>
      <c r="G221" s="99" t="s">
        <v>262</v>
      </c>
      <c r="H221" s="204">
        <f>VLOOKUP(H65,Lateral!BM7:BP11,3,FALSE)</f>
        <v>20.9</v>
      </c>
      <c r="N221" s="184"/>
    </row>
    <row r="222" spans="4:14" ht="20.100000000000001" customHeight="1" x14ac:dyDescent="0.2">
      <c r="D222" s="183"/>
      <c r="E222" s="99" t="str">
        <f>Translation!B178</f>
        <v>Factor de forma</v>
      </c>
      <c r="F222" s="99" t="s">
        <v>174</v>
      </c>
      <c r="G222" s="99" t="s">
        <v>262</v>
      </c>
      <c r="H222" s="262">
        <f>VLOOKUP(H65,Lateral!BM7:BP11,4,FALSE)</f>
        <v>227</v>
      </c>
      <c r="N222" s="184"/>
    </row>
    <row r="223" spans="4:14" ht="20.100000000000001" customHeight="1" x14ac:dyDescent="0.2">
      <c r="D223" s="183"/>
      <c r="E223" s="99" t="str">
        <f>Translation!B179</f>
        <v>Coeficiente de acuerdo con EN 1995-1-1, 6.1.5</v>
      </c>
      <c r="F223" s="99" t="s">
        <v>167</v>
      </c>
      <c r="G223" s="99" t="s">
        <v>262</v>
      </c>
      <c r="H223" s="262">
        <f>Lateral!AM32</f>
        <v>1</v>
      </c>
      <c r="N223" s="184"/>
    </row>
    <row r="224" spans="4:14" ht="20.100000000000001" customHeight="1" x14ac:dyDescent="0.2">
      <c r="D224" s="183"/>
      <c r="E224" s="99" t="str">
        <f>Translation!B180</f>
        <v>Coeficiente de acuerdo con EN 1995-1-1, eq. 6.62</v>
      </c>
      <c r="F224" s="99" t="s">
        <v>186</v>
      </c>
      <c r="G224" s="99" t="s">
        <v>262</v>
      </c>
      <c r="H224" s="264">
        <f>Lateral!AX32</f>
        <v>0.72788065211624708</v>
      </c>
      <c r="N224" s="184"/>
    </row>
    <row r="225" spans="4:28" ht="9.9499999999999993" customHeight="1" x14ac:dyDescent="0.2">
      <c r="D225" s="183"/>
      <c r="F225" s="197"/>
      <c r="G225" s="197"/>
      <c r="N225" s="184"/>
    </row>
    <row r="226" spans="4:28" ht="20.100000000000001" customHeight="1" x14ac:dyDescent="0.2">
      <c r="D226" s="183"/>
      <c r="E226" s="99" t="str">
        <f>Translation!B181</f>
        <v>Resistencia característica</v>
      </c>
      <c r="F226" s="197" t="s">
        <v>272</v>
      </c>
      <c r="G226" s="197" t="s">
        <v>258</v>
      </c>
      <c r="H226" s="207">
        <f>IF(H99=1,VLOOKUP($H$65,Lateral!$BD$6:$BG$11,4,FALSE),VLOOKUP($H$65,secondo_Lateral!$BD$6:$BG$11,4,FALSE))</f>
        <v>46.68</v>
      </c>
      <c r="I226" s="207"/>
      <c r="N226" s="184"/>
    </row>
    <row r="227" spans="4:28" ht="20.100000000000001" customHeight="1" x14ac:dyDescent="0.2">
      <c r="D227" s="183"/>
      <c r="E227" s="99" t="str">
        <f>Translation!B182</f>
        <v>Resistencia de diseño</v>
      </c>
      <c r="F227" s="197" t="s">
        <v>273</v>
      </c>
      <c r="G227" s="197" t="s">
        <v>258</v>
      </c>
      <c r="H227" s="207">
        <f>IF(H99=1,VLOOKUP($H$65,Lateral!$BD$6:$BH$11,5,FALSE),VLOOKUP($H$65,secondo_Lateral!$BD$6:$BH$11,5,FALSE))</f>
        <v>28.726153846153846</v>
      </c>
      <c r="I227" s="244"/>
      <c r="N227" s="184"/>
    </row>
    <row r="228" spans="4:28" ht="20.100000000000001" customHeight="1" x14ac:dyDescent="0.2">
      <c r="D228" s="183"/>
      <c r="E228" s="99" t="str">
        <f>Translation!B36</f>
        <v>Acción lateral</v>
      </c>
      <c r="F228" s="99" t="s">
        <v>1328</v>
      </c>
      <c r="G228" s="99" t="s">
        <v>258</v>
      </c>
      <c r="H228" s="204">
        <f>H59</f>
        <v>1</v>
      </c>
      <c r="I228" s="244"/>
      <c r="N228" s="184"/>
    </row>
    <row r="229" spans="4:28" ht="30" customHeight="1" x14ac:dyDescent="0.2">
      <c r="D229" s="183"/>
      <c r="E229" s="99" t="str">
        <f>Translation!B183</f>
        <v>Comprobación de la conexión</v>
      </c>
      <c r="F229" s="392" t="str">
        <f>IF(H229&gt;1,Translation!B209,Translation!B208)</f>
        <v>VERIFICADO</v>
      </c>
      <c r="G229" s="392"/>
      <c r="H229" s="260">
        <f>$H$59/H227</f>
        <v>3.4811482433590404E-2</v>
      </c>
      <c r="I229" s="185"/>
      <c r="N229" s="184"/>
    </row>
    <row r="230" spans="4:28" ht="9.9499999999999993" customHeight="1" x14ac:dyDescent="0.2">
      <c r="D230" s="183"/>
      <c r="H230" s="99"/>
      <c r="I230" s="99"/>
      <c r="N230" s="184"/>
    </row>
    <row r="231" spans="4:28" ht="9.9499999999999993" customHeight="1" x14ac:dyDescent="0.2">
      <c r="D231" s="183"/>
      <c r="N231" s="184"/>
    </row>
    <row r="232" spans="4:28" ht="9.9499999999999993" customHeight="1" x14ac:dyDescent="0.2">
      <c r="D232" s="183"/>
      <c r="N232" s="184"/>
    </row>
    <row r="233" spans="4:28" ht="30" customHeight="1" x14ac:dyDescent="0.2">
      <c r="D233" s="186"/>
      <c r="E233" s="221" t="str">
        <f>Translation!B184</f>
        <v>7. Comprobaciones de diseño en caso de cargas combinadas</v>
      </c>
      <c r="F233" s="221"/>
      <c r="G233" s="221"/>
      <c r="H233" s="221"/>
      <c r="I233" s="221"/>
      <c r="J233" s="221"/>
      <c r="K233" s="221"/>
      <c r="L233" s="221"/>
      <c r="M233" s="221"/>
      <c r="N233" s="184"/>
      <c r="W233" s="266" t="str">
        <f>IF(H235=AB165,"NON",CONCATENATE(IF(H237=AC165,"A",),IF(H238=AC165,"B",),IF(H239=AC165,"C",),IF(H240=AC165,"D",)))</f>
        <v>AC</v>
      </c>
    </row>
    <row r="234" spans="4:28" ht="9.9499999999999993" customHeight="1" x14ac:dyDescent="0.2">
      <c r="D234" s="183"/>
      <c r="N234" s="184"/>
    </row>
    <row r="235" spans="4:28" ht="20.100000000000001" customHeight="1" x14ac:dyDescent="0.2">
      <c r="D235" s="183"/>
      <c r="E235" s="99" t="str">
        <f>Translation!B185</f>
        <v>¿Es necesaria la comprobación de cargas combinadas?</v>
      </c>
      <c r="H235" s="297" t="s">
        <v>535</v>
      </c>
      <c r="I235" s="393" t="str">
        <f>IF(H235=AC165,Translation!B191," ")</f>
        <v>Seleccione las tensiones que se deben tener en cuenta en la comprobación combinada.</v>
      </c>
      <c r="J235" s="394"/>
      <c r="K235" s="394"/>
      <c r="L235" s="394"/>
      <c r="M235" s="394"/>
      <c r="N235" s="184"/>
    </row>
    <row r="236" spans="4:28" ht="9.9499999999999993" customHeight="1" x14ac:dyDescent="0.2">
      <c r="D236" s="183"/>
      <c r="N236" s="184"/>
    </row>
    <row r="237" spans="4:28" ht="20.100000000000001" customHeight="1" x14ac:dyDescent="0.2">
      <c r="D237" s="183"/>
      <c r="E237" s="299" t="str">
        <f>Translation!B186</f>
        <v>Corte vertical</v>
      </c>
      <c r="F237" s="299" t="s">
        <v>450</v>
      </c>
      <c r="H237" s="297" t="s">
        <v>535</v>
      </c>
      <c r="N237" s="184"/>
      <c r="Z237" s="99" t="str">
        <f>H237</f>
        <v>Sí</v>
      </c>
      <c r="AA237" s="99" t="s">
        <v>450</v>
      </c>
      <c r="AB237" s="270">
        <f>H185</f>
        <v>6.8988172282819782E-2</v>
      </c>
    </row>
    <row r="238" spans="4:28" ht="20.100000000000001" customHeight="1" x14ac:dyDescent="0.2">
      <c r="D238" s="183"/>
      <c r="E238" s="299" t="str">
        <f>Translation!B187</f>
        <v>Corte vertical de elevación</v>
      </c>
      <c r="F238" s="299" t="s">
        <v>451</v>
      </c>
      <c r="H238" s="297" t="s">
        <v>537</v>
      </c>
      <c r="N238" s="184"/>
      <c r="Z238" s="99" t="str">
        <f>H238</f>
        <v>No</v>
      </c>
      <c r="AA238" s="99" t="s">
        <v>451</v>
      </c>
      <c r="AB238" s="270">
        <f>H204</f>
        <v>0.22468978795883335</v>
      </c>
    </row>
    <row r="239" spans="4:28" ht="20.100000000000001" customHeight="1" x14ac:dyDescent="0.2">
      <c r="D239" s="183"/>
      <c r="E239" s="299" t="str">
        <f>Translation!B188</f>
        <v>Acción axial</v>
      </c>
      <c r="F239" s="299" t="s">
        <v>452</v>
      </c>
      <c r="H239" s="297" t="s">
        <v>535</v>
      </c>
      <c r="N239" s="184"/>
      <c r="T239" s="99" t="s">
        <v>462</v>
      </c>
      <c r="U239" s="265">
        <f>H185^2</f>
        <v>4.7593679149240233E-3</v>
      </c>
      <c r="W239" s="99" t="s">
        <v>459</v>
      </c>
      <c r="X239" s="265">
        <f>U239+U241</f>
        <v>6.3141899764866519E-2</v>
      </c>
      <c r="Z239" s="99" t="str">
        <f>H239</f>
        <v>Sí</v>
      </c>
      <c r="AA239" s="99" t="s">
        <v>452</v>
      </c>
      <c r="AB239" s="270">
        <f>H216</f>
        <v>0.24162477490924331</v>
      </c>
    </row>
    <row r="240" spans="4:28" ht="20.100000000000001" customHeight="1" x14ac:dyDescent="0.2">
      <c r="D240" s="183"/>
      <c r="E240" s="299" t="str">
        <f>Translation!B189</f>
        <v>Corte lateral</v>
      </c>
      <c r="F240" s="299" t="s">
        <v>453</v>
      </c>
      <c r="H240" s="297" t="s">
        <v>537</v>
      </c>
      <c r="N240" s="184"/>
      <c r="T240" s="99" t="s">
        <v>131</v>
      </c>
      <c r="U240" s="265">
        <f>H204^2</f>
        <v>5.0485500812985494E-2</v>
      </c>
      <c r="W240" s="99" t="s">
        <v>460</v>
      </c>
      <c r="X240" s="265">
        <f>U239+U241+U242</f>
        <v>6.4353739074090699E-2</v>
      </c>
      <c r="Z240" s="99" t="str">
        <f>H240</f>
        <v>No</v>
      </c>
      <c r="AA240" s="99" t="s">
        <v>453</v>
      </c>
      <c r="AB240" s="270">
        <f>H229</f>
        <v>3.4811482433590404E-2</v>
      </c>
    </row>
    <row r="241" spans="4:28" ht="9.9499999999999993" customHeight="1" x14ac:dyDescent="0.2">
      <c r="D241" s="183"/>
      <c r="N241" s="184"/>
      <c r="T241" s="99" t="s">
        <v>463</v>
      </c>
      <c r="U241" s="265">
        <f>H216^2</f>
        <v>5.8382531849942493E-2</v>
      </c>
      <c r="W241" s="99" t="s">
        <v>458</v>
      </c>
      <c r="X241" s="265">
        <f>U239+U242</f>
        <v>5.9712072241481966E-3</v>
      </c>
      <c r="Z241" s="99" t="str">
        <f>IF(Z237=AB165,IF(Z238=AB165,IF(Z239=AB165,IF(Z240=AB165,AC165,AB165),AB165),AB165),AB165)</f>
        <v>No</v>
      </c>
      <c r="AB241" s="270">
        <v>0</v>
      </c>
    </row>
    <row r="242" spans="4:28" ht="50.1" customHeight="1" x14ac:dyDescent="0.2">
      <c r="D242" s="183"/>
      <c r="E242" s="282" t="str">
        <f>Translation!B190</f>
        <v>Fv,d y Fup,d son fuerzas que actúan en direcciones opuestas. Por lo tanto, solo una de las fuerzas Fv,d y Fup,d puede actuar en combinación con las fuerzas Fax,d o Flat,d.</v>
      </c>
      <c r="F242" s="392" t="str">
        <f>IF(H242&gt;1,Translation!B209,Translation!B208)</f>
        <v>VERIFICADO</v>
      </c>
      <c r="G242" s="392"/>
      <c r="H242" s="260">
        <f>_xlfn.IFNA(VLOOKUP(W233,W239:X245,2,FALSE),VLOOKUP(AC165,Z237:AB241,3,FALSE))</f>
        <v>6.3141899764866519E-2</v>
      </c>
      <c r="N242" s="184"/>
      <c r="T242" s="99" t="s">
        <v>464</v>
      </c>
      <c r="U242" s="265">
        <f>H229^2</f>
        <v>1.2118393092241733E-3</v>
      </c>
      <c r="W242" s="99" t="s">
        <v>457</v>
      </c>
      <c r="X242" s="265">
        <f>U240+U241</f>
        <v>0.10886803266292799</v>
      </c>
    </row>
    <row r="243" spans="4:28" ht="9.9499999999999993" customHeight="1" x14ac:dyDescent="0.2">
      <c r="D243" s="183"/>
      <c r="N243" s="184"/>
      <c r="W243" s="99" t="s">
        <v>456</v>
      </c>
      <c r="X243" s="265">
        <f>U240+U241+U242</f>
        <v>0.11007987197215216</v>
      </c>
    </row>
    <row r="244" spans="4:28" ht="30" customHeight="1" x14ac:dyDescent="0.2">
      <c r="D244" s="183"/>
      <c r="E244" s="221" t="str">
        <f>Translation!B192</f>
        <v>8. Resumen de cantidad y códigos de producto</v>
      </c>
      <c r="F244" s="221"/>
      <c r="G244" s="221"/>
      <c r="H244" s="221"/>
      <c r="I244" s="221"/>
      <c r="J244" s="221"/>
      <c r="K244" s="221"/>
      <c r="L244" s="221"/>
      <c r="M244" s="221"/>
      <c r="N244" s="184"/>
      <c r="W244" s="99" t="s">
        <v>455</v>
      </c>
      <c r="X244" s="265">
        <f>U240+U242</f>
        <v>5.1697340122209667E-2</v>
      </c>
    </row>
    <row r="245" spans="4:28" ht="9.9499999999999993" customHeight="1" x14ac:dyDescent="0.2">
      <c r="D245" s="183"/>
      <c r="N245" s="184"/>
      <c r="W245" s="99" t="s">
        <v>454</v>
      </c>
      <c r="X245" s="265">
        <f>U241+U242</f>
        <v>5.9594371159166666E-2</v>
      </c>
    </row>
    <row r="246" spans="4:28" ht="20.100000000000001" customHeight="1" x14ac:dyDescent="0.2">
      <c r="D246" s="183"/>
      <c r="E246" s="299" t="str">
        <f>Translation!B193</f>
        <v>Número de conexiones</v>
      </c>
      <c r="F246" s="299" t="s">
        <v>506</v>
      </c>
      <c r="H246" s="297">
        <v>3</v>
      </c>
      <c r="N246" s="184"/>
    </row>
    <row r="247" spans="4:28" ht="9.9499999999999993" customHeight="1" thickBot="1" x14ac:dyDescent="0.25">
      <c r="D247" s="183"/>
      <c r="H247" s="345"/>
      <c r="N247" s="184"/>
    </row>
    <row r="248" spans="4:28" ht="60" customHeight="1" x14ac:dyDescent="0.2">
      <c r="D248" s="183"/>
      <c r="E248" s="343"/>
      <c r="F248" s="341"/>
      <c r="G248" s="341"/>
      <c r="H248" s="344" t="str">
        <f>Translation!B194</f>
        <v>Código</v>
      </c>
      <c r="I248" s="344" t="str">
        <f>Translation!B195</f>
        <v>Cantidad necesaria</v>
      </c>
      <c r="J248" s="384"/>
      <c r="K248" s="385"/>
      <c r="L248" s="341"/>
      <c r="M248" s="342"/>
      <c r="N248" s="184"/>
    </row>
    <row r="249" spans="4:28" ht="20.100000000000001" customHeight="1" x14ac:dyDescent="0.2">
      <c r="D249" s="183"/>
      <c r="E249" s="388" t="str">
        <f>Translation!B197</f>
        <v>Conector oculto</v>
      </c>
      <c r="F249" s="389"/>
      <c r="G249" s="304"/>
      <c r="H249" s="309" t="str">
        <f>H101</f>
        <v>LOCKTEV100290</v>
      </c>
      <c r="I249" s="310">
        <f>H246</f>
        <v>3</v>
      </c>
      <c r="J249" s="386">
        <f>VLOOKUP(H97,Data!AA4:AV22,22,FALSE)</f>
        <v>10</v>
      </c>
      <c r="K249" s="387"/>
      <c r="L249" s="304"/>
      <c r="M249" s="305"/>
      <c r="N249" s="184"/>
    </row>
    <row r="250" spans="4:28" ht="20.100000000000001" customHeight="1" x14ac:dyDescent="0.2">
      <c r="D250" s="183"/>
      <c r="E250" s="375" t="str">
        <f>Translation!B198</f>
        <v>Segundo conector oculto, si conectores en pares</v>
      </c>
      <c r="F250" s="376"/>
      <c r="G250" s="306"/>
      <c r="H250" s="311" t="str">
        <f>IF(H99=2,I101,"-")</f>
        <v>-</v>
      </c>
      <c r="I250" s="312" t="str">
        <f>IF(H99=2,H246,"-")</f>
        <v>-</v>
      </c>
      <c r="J250" s="379" t="str">
        <f>IF(H99=2,VLOOKUP(I97,Data!AA4:AV22,22,FALSE),"-")</f>
        <v>-</v>
      </c>
      <c r="K250" s="380"/>
      <c r="L250" s="306"/>
      <c r="M250" s="307"/>
      <c r="N250" s="184"/>
    </row>
    <row r="251" spans="4:28" ht="9.9499999999999993" customHeight="1" x14ac:dyDescent="0.2">
      <c r="D251" s="183"/>
      <c r="E251" s="301"/>
      <c r="F251" s="197"/>
      <c r="H251" s="313"/>
      <c r="I251" s="314"/>
      <c r="J251" s="308"/>
      <c r="M251" s="300"/>
      <c r="N251" s="184"/>
    </row>
    <row r="252" spans="4:28" ht="20.100000000000001" customHeight="1" x14ac:dyDescent="0.2">
      <c r="D252" s="183"/>
      <c r="E252" s="375" t="str">
        <f>Translation!B199</f>
        <v>Tornillos fijación elemento principal</v>
      </c>
      <c r="F252" s="376"/>
      <c r="G252" s="306"/>
      <c r="H252" s="311" t="str">
        <f>H113</f>
        <v>LBS780</v>
      </c>
      <c r="I252" s="312">
        <f>IF(H99=2,((H106+I106)/2)*H246,(H106/2)*H246)</f>
        <v>108</v>
      </c>
      <c r="J252" s="379">
        <f>VLOOKUP(H252,Screws!AS6:AT34,2,FALSE)</f>
        <v>100</v>
      </c>
      <c r="K252" s="380"/>
      <c r="L252" s="306"/>
      <c r="M252" s="307"/>
      <c r="N252" s="184"/>
      <c r="P252"/>
    </row>
    <row r="253" spans="4:28" ht="20.100000000000001" customHeight="1" x14ac:dyDescent="0.2">
      <c r="D253" s="183"/>
      <c r="E253" s="375" t="str">
        <f>Translation!B200</f>
        <v>Tornillos fijación viga secundaria</v>
      </c>
      <c r="F253" s="376"/>
      <c r="G253" s="306"/>
      <c r="H253" s="311" t="str">
        <f>H126</f>
        <v>LBS780</v>
      </c>
      <c r="I253" s="312">
        <f>IF(H99=2,((H106+I106)/2)*H246,(H106/2)*H246)</f>
        <v>108</v>
      </c>
      <c r="J253" s="379">
        <f>VLOOKUP(H253,Screws!AS6:AT34,2,FALSE)</f>
        <v>100</v>
      </c>
      <c r="K253" s="380"/>
      <c r="L253" s="306"/>
      <c r="M253" s="307"/>
      <c r="N253" s="184"/>
      <c r="P253"/>
    </row>
    <row r="254" spans="4:28" ht="20.100000000000001" customHeight="1" x14ac:dyDescent="0.2">
      <c r="D254" s="183"/>
      <c r="E254" s="375" t="str">
        <f>Translation!B201</f>
        <v>Tornillos inclinados para resistencia al arranque y/o lateral</v>
      </c>
      <c r="F254" s="376"/>
      <c r="G254" s="306"/>
      <c r="H254" s="311" t="str">
        <f>H144</f>
        <v>LBS560</v>
      </c>
      <c r="I254" s="312">
        <f>IF(H99=2,(H142+I142)*H246,H142*H246)</f>
        <v>9</v>
      </c>
      <c r="J254" s="379">
        <f>IF(H141="NO","-",VLOOKUP(H254,Screws!AS6:AT34,2,FALSE))</f>
        <v>200</v>
      </c>
      <c r="K254" s="380"/>
      <c r="L254" s="306"/>
      <c r="M254" s="307"/>
      <c r="N254" s="184"/>
    </row>
    <row r="255" spans="4:28" ht="9.9499999999999993" customHeight="1" x14ac:dyDescent="0.2">
      <c r="D255" s="183"/>
      <c r="E255" s="301"/>
      <c r="F255" s="197"/>
      <c r="H255" s="313"/>
      <c r="I255" s="313"/>
      <c r="J255" s="308"/>
      <c r="M255" s="300"/>
      <c r="N255" s="184"/>
    </row>
    <row r="256" spans="4:28" ht="20.100000000000001" customHeight="1" thickBot="1" x14ac:dyDescent="0.25">
      <c r="D256" s="183"/>
      <c r="E256" s="377" t="str">
        <f>Translation!B202</f>
        <v>Conector LOCK STOP</v>
      </c>
      <c r="F256" s="378"/>
      <c r="G256" s="302"/>
      <c r="H256" s="315" t="str">
        <f>IF(H65="LOCK STOP",VLOOKUP(H138,Data!BA4:BB16,2,FALSE),"-")</f>
        <v>-</v>
      </c>
      <c r="I256" s="316" t="str">
        <f>IF(H65="LOCK STOP",VLOOKUP(H138,Data!BA4:BJ16,10,FALSE)*H246,"-")</f>
        <v>-</v>
      </c>
      <c r="J256" s="381" t="str">
        <f>IF(H65="LOCK STOP",VLOOKUP(H138,Data!BA4:BK16,11,FALSE),"-")</f>
        <v>-</v>
      </c>
      <c r="K256" s="382"/>
      <c r="L256" s="302"/>
      <c r="M256" s="303"/>
      <c r="N256" s="184"/>
    </row>
    <row r="257" spans="4:16" ht="18" hidden="1" customHeight="1" x14ac:dyDescent="0.2">
      <c r="D257" s="183"/>
      <c r="N257" s="184"/>
      <c r="P257"/>
    </row>
    <row r="258" spans="4:16" ht="18" customHeight="1" x14ac:dyDescent="0.2">
      <c r="D258" s="183"/>
      <c r="N258" s="184"/>
      <c r="P258"/>
    </row>
    <row r="259" spans="4:16" ht="18" customHeight="1" x14ac:dyDescent="0.2">
      <c r="D259" s="183"/>
      <c r="N259" s="184"/>
      <c r="P259"/>
    </row>
    <row r="260" spans="4:16" ht="18" customHeight="1" x14ac:dyDescent="0.2">
      <c r="D260" s="183"/>
      <c r="N260" s="184"/>
      <c r="P260"/>
    </row>
    <row r="261" spans="4:16" ht="18" customHeight="1" x14ac:dyDescent="0.2">
      <c r="D261" s="183"/>
      <c r="N261" s="184"/>
      <c r="P261"/>
    </row>
    <row r="262" spans="4:16" ht="18" customHeight="1" x14ac:dyDescent="0.2">
      <c r="D262" s="183"/>
      <c r="N262" s="184"/>
      <c r="P262"/>
    </row>
    <row r="263" spans="4:16" ht="18" customHeight="1" x14ac:dyDescent="0.2">
      <c r="D263" s="183"/>
      <c r="N263" s="184"/>
      <c r="P263"/>
    </row>
    <row r="264" spans="4:16" ht="18" customHeight="1" x14ac:dyDescent="0.2">
      <c r="D264" s="183"/>
      <c r="N264" s="184"/>
    </row>
    <row r="265" spans="4:16" ht="18" customHeight="1" x14ac:dyDescent="0.2">
      <c r="D265" s="183"/>
      <c r="N265" s="184"/>
    </row>
    <row r="266" spans="4:16" ht="18" customHeight="1" x14ac:dyDescent="0.2">
      <c r="D266" s="183"/>
      <c r="N266" s="184"/>
      <c r="P266"/>
    </row>
    <row r="267" spans="4:16" ht="18" customHeight="1" x14ac:dyDescent="0.2">
      <c r="D267" s="183"/>
      <c r="N267" s="184"/>
      <c r="P267"/>
    </row>
    <row r="268" spans="4:16" ht="18" customHeight="1" x14ac:dyDescent="0.2">
      <c r="D268" s="183"/>
      <c r="N268" s="184"/>
    </row>
    <row r="269" spans="4:16" ht="18" customHeight="1" x14ac:dyDescent="0.2">
      <c r="D269" s="183"/>
      <c r="N269" s="184"/>
    </row>
    <row r="270" spans="4:16" ht="18" customHeight="1" x14ac:dyDescent="0.2">
      <c r="D270" s="183"/>
      <c r="N270" s="184"/>
    </row>
    <row r="271" spans="4:16" ht="18" customHeight="1" x14ac:dyDescent="0.2">
      <c r="D271" s="183"/>
      <c r="N271" s="184"/>
    </row>
    <row r="272" spans="4:16" ht="18" customHeight="1" x14ac:dyDescent="0.2">
      <c r="D272" s="183"/>
      <c r="N272" s="184"/>
      <c r="P272"/>
    </row>
    <row r="273" spans="4:16" ht="18" customHeight="1" x14ac:dyDescent="0.2">
      <c r="D273" s="183"/>
      <c r="N273" s="184"/>
    </row>
    <row r="274" spans="4:16" ht="18" customHeight="1" x14ac:dyDescent="0.2">
      <c r="D274" s="183"/>
      <c r="N274" s="184"/>
    </row>
    <row r="275" spans="4:16" ht="18" customHeight="1" x14ac:dyDescent="0.2">
      <c r="D275" s="183"/>
      <c r="N275" s="184"/>
    </row>
    <row r="276" spans="4:16" ht="18" customHeight="1" x14ac:dyDescent="0.2">
      <c r="D276" s="183"/>
      <c r="N276" s="184"/>
    </row>
    <row r="277" spans="4:16" ht="18" customHeight="1" x14ac:dyDescent="0.2">
      <c r="D277" s="183"/>
      <c r="N277" s="184"/>
      <c r="P277"/>
    </row>
    <row r="278" spans="4:16" ht="18" customHeight="1" x14ac:dyDescent="0.2">
      <c r="D278" s="183"/>
      <c r="N278" s="184"/>
    </row>
    <row r="279" spans="4:16" ht="18" customHeight="1" x14ac:dyDescent="0.2">
      <c r="D279" s="183"/>
      <c r="N279" s="184"/>
    </row>
    <row r="280" spans="4:16" ht="80.099999999999994" customHeight="1" x14ac:dyDescent="0.2">
      <c r="D280" s="183"/>
      <c r="E280" s="383" t="str">
        <f>Translation!B203</f>
        <v>Rotho Blaas ha efectuado las comprobaciones según el método de los estados límite de acuerdo con la norma EC 1995-1-1 Eurocódigo 5 - Diseño de estructuras de madera. Para los valores de resistencia mecánica y para la geometría de los conectores LOCK y LOCK STOP se han tomado como referencia las indicaciones de ETA-19/0831. Para los valores de resistencia mecánica y para la geometría de los tornillos se han tomado como referencia las indicaciones de ETA-11/0030.
Los valores estáticos se han calculado suponiendo un espesor constante del elemento de metal e incluyendo el espesor del LOCK STOP.
La resistencia Fup con tornillo inclinado se ha calculado considerando el número eficaz de tornillos cargados axialmente según ETA-11/ 0030.
Se debe prestar especial atención a la ejecución del fresado en el elemento principal o en la viga secundaria para limitar el deslizamiento lateral de la conexión.
La resistencia Flat con tornillo inclinado se ha calculado considerando el número eficaz de tornillos dispuestos paralelamente a la fibra según EN 1995-1-1.
Si se usan conectores en pares, se tiene que prestar una especial atención a su alineación durante la colocación para evitar que las solicitaciones sean diferentes en los dos conectores.
Se debe efectuar siempre una fijación total del conector, utilizando todos los agujeros.
No se admiten fijaciones con clavado parcial. Para cada mitad de conector, se deben utilizar tornillos de la misma longitud.
En el caso de fresado en el elemento principal o en la viga secundaria, se debe tener especial cuidado al realizar el fresado para limitar el deslizamiento lateral de la conexión.
El dimensionamiento y el control de los elementos de madera deben efectuarse por separado. Todos los cálculos deben ser verificados y aprobados por el diseñador responsable antes de su ejecución. Es deber del proyectista responsable comprobar en cada uso que los datos sean conformes con la normativa vigente y con el proyecto. La responsabilidad final de elegir el producto adecuado para una aplicación específica recae en el proyectista.</v>
      </c>
      <c r="F280" s="383"/>
      <c r="G280" s="383"/>
      <c r="H280" s="383"/>
      <c r="I280" s="383"/>
      <c r="J280" s="383"/>
      <c r="K280" s="383"/>
      <c r="L280" s="383"/>
      <c r="M280" s="383"/>
      <c r="N280" s="184"/>
    </row>
    <row r="281" spans="4:16" ht="20.100000000000001" customHeight="1" x14ac:dyDescent="0.2">
      <c r="D281" s="183"/>
      <c r="E281" s="383"/>
      <c r="F281" s="383"/>
      <c r="G281" s="383"/>
      <c r="H281" s="383"/>
      <c r="I281" s="383"/>
      <c r="J281" s="383"/>
      <c r="K281" s="383"/>
      <c r="L281" s="383"/>
      <c r="M281" s="383"/>
      <c r="N281" s="184"/>
    </row>
    <row r="282" spans="4:16" ht="20.100000000000001" customHeight="1" x14ac:dyDescent="0.2">
      <c r="D282" s="183"/>
      <c r="E282" s="383"/>
      <c r="F282" s="383"/>
      <c r="G282" s="383"/>
      <c r="H282" s="383"/>
      <c r="I282" s="383"/>
      <c r="J282" s="383"/>
      <c r="K282" s="383"/>
      <c r="L282" s="383"/>
      <c r="M282" s="383"/>
      <c r="N282" s="184"/>
    </row>
    <row r="283" spans="4:16" ht="20.100000000000001" customHeight="1" x14ac:dyDescent="0.2">
      <c r="D283" s="183"/>
      <c r="E283" s="383"/>
      <c r="F283" s="383"/>
      <c r="G283" s="383"/>
      <c r="H283" s="383"/>
      <c r="I283" s="383"/>
      <c r="J283" s="383"/>
      <c r="K283" s="383"/>
      <c r="L283" s="383"/>
      <c r="M283" s="383"/>
      <c r="N283" s="184"/>
    </row>
    <row r="284" spans="4:16" ht="20.100000000000001" customHeight="1" x14ac:dyDescent="0.2">
      <c r="D284" s="183"/>
      <c r="E284" s="383"/>
      <c r="F284" s="383"/>
      <c r="G284" s="383"/>
      <c r="H284" s="383"/>
      <c r="I284" s="383"/>
      <c r="J284" s="383"/>
      <c r="K284" s="383"/>
      <c r="L284" s="383"/>
      <c r="M284" s="383"/>
      <c r="N284" s="184"/>
    </row>
    <row r="285" spans="4:16" ht="20.100000000000001" customHeight="1" x14ac:dyDescent="0.2">
      <c r="D285" s="183"/>
      <c r="E285" s="383"/>
      <c r="F285" s="383"/>
      <c r="G285" s="383"/>
      <c r="H285" s="383"/>
      <c r="I285" s="383"/>
      <c r="J285" s="383"/>
      <c r="K285" s="383"/>
      <c r="L285" s="383"/>
      <c r="M285" s="383"/>
      <c r="N285" s="184"/>
    </row>
    <row r="286" spans="4:16" ht="20.100000000000001" customHeight="1" x14ac:dyDescent="0.2">
      <c r="D286" s="183"/>
      <c r="E286" s="383"/>
      <c r="F286" s="383"/>
      <c r="G286" s="383"/>
      <c r="H286" s="383"/>
      <c r="I286" s="383"/>
      <c r="J286" s="383"/>
      <c r="K286" s="383"/>
      <c r="L286" s="383"/>
      <c r="M286" s="383"/>
      <c r="N286" s="184"/>
    </row>
    <row r="287" spans="4:16" ht="20.100000000000001" customHeight="1" x14ac:dyDescent="0.2">
      <c r="D287" s="183"/>
      <c r="E287" s="383"/>
      <c r="F287" s="383"/>
      <c r="G287" s="383"/>
      <c r="H287" s="383"/>
      <c r="I287" s="383"/>
      <c r="J287" s="383"/>
      <c r="K287" s="383"/>
      <c r="L287" s="383"/>
      <c r="M287" s="383"/>
      <c r="N287" s="184"/>
    </row>
    <row r="288" spans="4:16" ht="20.100000000000001" customHeight="1" x14ac:dyDescent="0.2">
      <c r="D288" s="183"/>
      <c r="E288" s="383"/>
      <c r="F288" s="383"/>
      <c r="G288" s="383"/>
      <c r="H288" s="383"/>
      <c r="I288" s="383"/>
      <c r="J288" s="383"/>
      <c r="K288" s="383"/>
      <c r="L288" s="383"/>
      <c r="M288" s="383"/>
      <c r="N288" s="184"/>
    </row>
    <row r="289" spans="4:14" ht="20.100000000000001" customHeight="1" x14ac:dyDescent="0.2">
      <c r="D289" s="183"/>
      <c r="E289" s="383"/>
      <c r="F289" s="383"/>
      <c r="G289" s="383"/>
      <c r="H289" s="383"/>
      <c r="I289" s="383"/>
      <c r="J289" s="383"/>
      <c r="K289" s="383"/>
      <c r="L289" s="383"/>
      <c r="M289" s="383"/>
      <c r="N289" s="184"/>
    </row>
    <row r="290" spans="4:14" ht="20.100000000000001" customHeight="1" x14ac:dyDescent="0.2">
      <c r="D290" s="183"/>
      <c r="E290" s="383"/>
      <c r="F290" s="383"/>
      <c r="G290" s="383"/>
      <c r="H290" s="383"/>
      <c r="I290" s="383"/>
      <c r="J290" s="383"/>
      <c r="K290" s="383"/>
      <c r="L290" s="383"/>
      <c r="M290" s="383"/>
      <c r="N290" s="184"/>
    </row>
    <row r="291" spans="4:14" ht="30.95" customHeight="1" x14ac:dyDescent="0.2">
      <c r="D291" s="183"/>
      <c r="E291" s="372" t="str">
        <f>Translation!B204</f>
        <v>Estas indicaciones relativas a la hoja de verificación deben ser interpretadas como indicativas, entendiéndose que la responsabilidad completa del proyecto de conexión recae en el proyectista.</v>
      </c>
      <c r="F291" s="372"/>
      <c r="G291" s="372"/>
      <c r="H291" s="372"/>
      <c r="I291" s="372"/>
      <c r="J291" s="372"/>
      <c r="K291" s="372"/>
      <c r="L291" s="372"/>
      <c r="M291" s="372"/>
      <c r="N291" s="184"/>
    </row>
    <row r="292" spans="4:14" ht="20.100000000000001" customHeight="1" x14ac:dyDescent="0.2">
      <c r="D292" s="183"/>
      <c r="E292" s="373" t="str">
        <f>Translation!B205</f>
        <v>El diseño de los elementos de madera debe realizarse por separado por parte del calculista.</v>
      </c>
      <c r="F292" s="373"/>
      <c r="G292" s="373"/>
      <c r="H292" s="373"/>
      <c r="I292" s="373"/>
      <c r="J292" s="373"/>
      <c r="K292" s="373"/>
      <c r="L292" s="373"/>
      <c r="M292" s="373"/>
      <c r="N292" s="184"/>
    </row>
    <row r="293" spans="4:14" s="319" customFormat="1" ht="125.1" customHeight="1" x14ac:dyDescent="0.2">
      <c r="D293" s="317"/>
      <c r="E293" s="374" t="str">
        <f>Translation!B206</f>
        <v>Como se especifica en las Condiciones Generales aceptadas por el usuario al descargar la hoja de cálculo: los resultados obtenidos con esta herramienta de cálculo son de carácter indicativo y deben ser considerados como un servicio técnico-comercial dentro de la actividad comercial de Rotho Blaas srl. El número y el espesor de las placas deben ser determinados por el proyectista responsable, que debe comprobar la exactitud de los resultados derivados del procesamiento de los datos introducidos. Rotho Blaas srl no garantiza el cumplimiento de la legislación vigente y el diseño de los cálculos realizados a través de esta hoja de cálculo. En particular, tras la modificación de las disposiciones pertinentes como, por ejemplo, normas, aprobaciones, etc. El programa puede resultar, en parte o en su totalidad, inválido. Rotho Blaas srl no garantiza y no será responsable de los daños o consecuencias directas o indirectas o de otro tipo, de cualquier manera (garantía por defectos, garantía por mal funcionamiento, responsabilidad legal o del producto, etc.). El usuario declara utilizar la hoja de cálculo como un profesional con la obligación y la responsabilidad de verificar que la hoja de cálculo satisface sus necesidades específicas.</v>
      </c>
      <c r="F293" s="374"/>
      <c r="G293" s="374"/>
      <c r="H293" s="374"/>
      <c r="I293" s="374"/>
      <c r="J293" s="374"/>
      <c r="K293" s="374"/>
      <c r="L293" s="374"/>
      <c r="M293" s="374"/>
      <c r="N293" s="318"/>
    </row>
    <row r="294" spans="4:14" ht="20.100000000000001" customHeight="1" x14ac:dyDescent="0.2">
      <c r="D294" s="190"/>
      <c r="E294" s="192"/>
      <c r="F294" s="192"/>
      <c r="G294" s="192"/>
      <c r="H294" s="192"/>
      <c r="I294" s="192"/>
      <c r="J294" s="192"/>
      <c r="K294" s="192"/>
      <c r="L294" s="192"/>
      <c r="M294" s="192"/>
      <c r="N294" s="211"/>
    </row>
    <row r="295" spans="4:14" ht="20.100000000000001" customHeight="1" x14ac:dyDescent="0.2">
      <c r="D295" s="190"/>
      <c r="E295" s="192"/>
      <c r="F295" s="192"/>
      <c r="G295" s="192"/>
      <c r="H295" s="192"/>
      <c r="I295" s="192"/>
      <c r="J295" s="192"/>
      <c r="K295" s="192"/>
      <c r="L295" s="192"/>
      <c r="M295" s="192"/>
      <c r="N295" s="211"/>
    </row>
    <row r="296" spans="4:14" ht="20.100000000000001" customHeight="1" thickBot="1" x14ac:dyDescent="0.25">
      <c r="D296" s="208"/>
      <c r="E296" s="209"/>
      <c r="F296" s="209"/>
      <c r="G296" s="209"/>
      <c r="H296" s="209"/>
      <c r="I296" s="209"/>
      <c r="J296" s="209"/>
      <c r="K296" s="209"/>
      <c r="L296" s="209"/>
      <c r="M296" s="209"/>
      <c r="N296" s="212"/>
    </row>
    <row r="297" spans="4:14" ht="20.100000000000001" customHeight="1" x14ac:dyDescent="0.2">
      <c r="D297" s="190"/>
      <c r="E297" s="192"/>
      <c r="F297" s="192"/>
      <c r="G297" s="192"/>
      <c r="H297" s="192"/>
      <c r="I297" s="192"/>
      <c r="J297" s="192"/>
      <c r="K297" s="192"/>
      <c r="L297" s="192"/>
      <c r="M297" s="192"/>
      <c r="N297" s="211"/>
    </row>
    <row r="298" spans="4:14" ht="20.100000000000001" customHeight="1" x14ac:dyDescent="0.2">
      <c r="D298" s="190"/>
      <c r="E298" s="192"/>
      <c r="F298" s="192"/>
      <c r="G298" s="192"/>
      <c r="H298" s="192"/>
      <c r="I298" s="192"/>
      <c r="J298" s="192"/>
      <c r="K298" s="192"/>
      <c r="L298" s="192"/>
      <c r="M298" s="192"/>
      <c r="N298" s="211"/>
    </row>
    <row r="299" spans="4:14" ht="20.100000000000001" customHeight="1" thickBot="1" x14ac:dyDescent="0.25">
      <c r="D299" s="208"/>
      <c r="E299" s="209"/>
      <c r="F299" s="209"/>
      <c r="G299" s="209"/>
      <c r="H299" s="209"/>
      <c r="I299" s="209"/>
      <c r="J299" s="209"/>
      <c r="K299" s="209"/>
      <c r="L299" s="209"/>
      <c r="M299" s="209"/>
      <c r="N299" s="212"/>
    </row>
    <row r="300" spans="4:14" ht="20.100000000000001" customHeight="1" thickBot="1" x14ac:dyDescent="0.25">
      <c r="D300" s="208"/>
      <c r="E300" s="209"/>
      <c r="F300" s="209"/>
      <c r="G300" s="209"/>
      <c r="H300" s="209"/>
      <c r="I300" s="209"/>
      <c r="J300" s="209"/>
      <c r="K300" s="209"/>
      <c r="L300" s="209"/>
      <c r="M300" s="209"/>
      <c r="N300" s="212"/>
    </row>
  </sheetData>
  <sheetProtection algorithmName="SHA-512" hashValue="HYmKvkt4dDcsp4R0e9zQXGyv4PyqmyAu+cEhVnQX5yej+mIDURuyVfclsejNfA3ZODE2sjrhhU2beprUA6kgvg==" saltValue="j4q/B7kpSs4eaASskqB2YA==" spinCount="100000" sheet="1" objects="1" scenarios="1" selectLockedCells="1"/>
  <mergeCells count="58">
    <mergeCell ref="F67:H67"/>
    <mergeCell ref="I85:K86"/>
    <mergeCell ref="F229:G229"/>
    <mergeCell ref="I88:I93"/>
    <mergeCell ref="K97:M97"/>
    <mergeCell ref="K108:M108"/>
    <mergeCell ref="K126:M126"/>
    <mergeCell ref="I74:I79"/>
    <mergeCell ref="K71:L71"/>
    <mergeCell ref="I83:I84"/>
    <mergeCell ref="I69:I70"/>
    <mergeCell ref="K83:L83"/>
    <mergeCell ref="K81:L81"/>
    <mergeCell ref="M34:M35"/>
    <mergeCell ref="E2:M2"/>
    <mergeCell ref="H6:I6"/>
    <mergeCell ref="J6:K6"/>
    <mergeCell ref="F3:H3"/>
    <mergeCell ref="F4:H4"/>
    <mergeCell ref="F5:H5"/>
    <mergeCell ref="J4:M4"/>
    <mergeCell ref="J3:M3"/>
    <mergeCell ref="L34:L35"/>
    <mergeCell ref="F41:H41"/>
    <mergeCell ref="F35:H35"/>
    <mergeCell ref="F36:H36"/>
    <mergeCell ref="F37:H37"/>
    <mergeCell ref="F38:H38"/>
    <mergeCell ref="F39:H39"/>
    <mergeCell ref="E249:F249"/>
    <mergeCell ref="E250:F250"/>
    <mergeCell ref="E252:F252"/>
    <mergeCell ref="E253:F253"/>
    <mergeCell ref="D12:M14"/>
    <mergeCell ref="F242:G242"/>
    <mergeCell ref="F216:G216"/>
    <mergeCell ref="F204:G204"/>
    <mergeCell ref="I45:M45"/>
    <mergeCell ref="I46:M46"/>
    <mergeCell ref="F185:G185"/>
    <mergeCell ref="G186:H186"/>
    <mergeCell ref="E157:E161"/>
    <mergeCell ref="I235:M235"/>
    <mergeCell ref="F34:H34"/>
    <mergeCell ref="F40:H40"/>
    <mergeCell ref="J248:K248"/>
    <mergeCell ref="J249:K249"/>
    <mergeCell ref="J250:K250"/>
    <mergeCell ref="J252:K252"/>
    <mergeCell ref="J253:K253"/>
    <mergeCell ref="E291:M291"/>
    <mergeCell ref="E292:M292"/>
    <mergeCell ref="E293:M293"/>
    <mergeCell ref="E254:F254"/>
    <mergeCell ref="E256:F256"/>
    <mergeCell ref="J254:K254"/>
    <mergeCell ref="J256:K256"/>
    <mergeCell ref="E280:M290"/>
  </mergeCells>
  <conditionalFormatting sqref="H49 E49">
    <cfRule type="expression" dxfId="54" priority="19">
      <formula>$F$39="EC 1995-1-1"</formula>
    </cfRule>
  </conditionalFormatting>
  <conditionalFormatting sqref="F3:F5 H185 J3:J4">
    <cfRule type="cellIs" dxfId="53" priority="77" operator="equal">
      <formula>1</formula>
    </cfRule>
    <cfRule type="cellIs" dxfId="52" priority="78" operator="lessThan">
      <formula>1</formula>
    </cfRule>
    <cfRule type="cellIs" dxfId="51" priority="79" operator="greaterThan">
      <formula>1</formula>
    </cfRule>
  </conditionalFormatting>
  <conditionalFormatting sqref="F5">
    <cfRule type="expression" dxfId="50" priority="12">
      <formula>$H$235=$AB$165</formula>
    </cfRule>
    <cfRule type="expression" dxfId="49" priority="17">
      <formula>$Z$241=$AC$165</formula>
    </cfRule>
  </conditionalFormatting>
  <conditionalFormatting sqref="F242:H242">
    <cfRule type="expression" dxfId="48" priority="18">
      <formula>$Z$241=$AC$165</formula>
    </cfRule>
    <cfRule type="expression" dxfId="47" priority="21">
      <formula>$H$235=$AB$165</formula>
    </cfRule>
  </conditionalFormatting>
  <conditionalFormatting sqref="H100 K105">
    <cfRule type="expression" dxfId="46" priority="32">
      <formula>$H$100="(*)"</formula>
    </cfRule>
  </conditionalFormatting>
  <conditionalFormatting sqref="H204">
    <cfRule type="cellIs" dxfId="45" priority="69" operator="equal">
      <formula>1</formula>
    </cfRule>
    <cfRule type="cellIs" dxfId="44" priority="70" operator="lessThan">
      <formula>1</formula>
    </cfRule>
    <cfRule type="cellIs" dxfId="43" priority="71" operator="greaterThan">
      <formula>1</formula>
    </cfRule>
  </conditionalFormatting>
  <conditionalFormatting sqref="H216">
    <cfRule type="cellIs" dxfId="42" priority="65" operator="equal">
      <formula>1</formula>
    </cfRule>
    <cfRule type="cellIs" dxfId="41" priority="66" operator="lessThan">
      <formula>1</formula>
    </cfRule>
    <cfRule type="cellIs" dxfId="40" priority="67" operator="greaterThan">
      <formula>1</formula>
    </cfRule>
  </conditionalFormatting>
  <conditionalFormatting sqref="H229">
    <cfRule type="cellIs" dxfId="39" priority="62" operator="equal">
      <formula>1</formula>
    </cfRule>
    <cfRule type="cellIs" dxfId="38" priority="63" operator="lessThan">
      <formula>1</formula>
    </cfRule>
    <cfRule type="cellIs" dxfId="37" priority="64" operator="greaterThan">
      <formula>1</formula>
    </cfRule>
  </conditionalFormatting>
  <conditionalFormatting sqref="H242">
    <cfRule type="cellIs" dxfId="36" priority="24" operator="equal">
      <formula>1</formula>
    </cfRule>
    <cfRule type="cellIs" dxfId="35" priority="25" operator="lessThan">
      <formula>1</formula>
    </cfRule>
    <cfRule type="cellIs" dxfId="34" priority="26" operator="greaterThan">
      <formula>1</formula>
    </cfRule>
  </conditionalFormatting>
  <conditionalFormatting sqref="H100:I100 K105">
    <cfRule type="expression" dxfId="33" priority="11">
      <formula>$H$100=0</formula>
    </cfRule>
  </conditionalFormatting>
  <conditionalFormatting sqref="I69">
    <cfRule type="expression" dxfId="32" priority="5">
      <formula>IF($H$72=$AA$54,$H$70&lt;$X$78)</formula>
    </cfRule>
    <cfRule type="expression" dxfId="31" priority="6">
      <formula>IF($H$72=$AA$53,$H$70&lt;$X$75)</formula>
    </cfRule>
    <cfRule type="expression" dxfId="30" priority="7">
      <formula>IF($H$72=$AA$53,$H$69&lt;$X$74)</formula>
    </cfRule>
    <cfRule type="expression" dxfId="29" priority="96">
      <formula>IF($H$72=$AA$54,$H$69&lt;$X$77)</formula>
    </cfRule>
  </conditionalFormatting>
  <conditionalFormatting sqref="I83">
    <cfRule type="expression" dxfId="28" priority="3">
      <formula>IF($H$89&gt;420,$H$84&lt;$X$84,$H$84&lt;$X$87)</formula>
    </cfRule>
    <cfRule type="expression" dxfId="27" priority="4">
      <formula>IF($H$89&gt;420,$H$83&lt;$X$83,$H$83&lt;$X$86)</formula>
    </cfRule>
  </conditionalFormatting>
  <conditionalFormatting sqref="I88:I93">
    <cfRule type="expression" dxfId="26" priority="14">
      <formula>$H$89&gt;420</formula>
    </cfRule>
  </conditionalFormatting>
  <conditionalFormatting sqref="I97:I99">
    <cfRule type="expression" dxfId="25" priority="43">
      <formula>$H$99=1</formula>
    </cfRule>
  </conditionalFormatting>
  <conditionalFormatting sqref="I98 I111 I141">
    <cfRule type="expression" dxfId="24" priority="34">
      <formula>$H$99=1</formula>
    </cfRule>
  </conditionalFormatting>
  <conditionalFormatting sqref="I100 K106 K109">
    <cfRule type="expression" dxfId="23" priority="30">
      <formula>$H$99=1</formula>
    </cfRule>
    <cfRule type="expression" dxfId="22" priority="31">
      <formula>$I$100="(**)"</formula>
    </cfRule>
  </conditionalFormatting>
  <conditionalFormatting sqref="I124">
    <cfRule type="expression" dxfId="21" priority="42">
      <formula>$H$99=1</formula>
    </cfRule>
  </conditionalFormatting>
  <conditionalFormatting sqref="I85 I86 J85 J86 K85 K86">
    <cfRule type="expression" dxfId="20" priority="27">
      <formula>$H$86&lt;&gt;0</formula>
    </cfRule>
  </conditionalFormatting>
  <conditionalFormatting sqref="K97:M97">
    <cfRule type="expression" dxfId="19" priority="20">
      <formula>$R$86=0</formula>
    </cfRule>
  </conditionalFormatting>
  <conditionalFormatting sqref="I74:I79">
    <cfRule type="expression" dxfId="18" priority="13">
      <formula>$H$72=$AA$54</formula>
    </cfRule>
    <cfRule type="expression" dxfId="17" priority="15">
      <formula>$H$75&gt;420</formula>
    </cfRule>
  </conditionalFormatting>
  <conditionalFormatting sqref="H87">
    <cfRule type="expression" dxfId="16" priority="10">
      <formula>ABS($H$86)&gt;=40</formula>
    </cfRule>
  </conditionalFormatting>
  <conditionalFormatting sqref="E138">
    <cfRule type="expression" dxfId="15" priority="97">
      <formula>$H$65="LOCK STOP"</formula>
    </cfRule>
  </conditionalFormatting>
  <conditionalFormatting sqref="H138">
    <cfRule type="expression" dxfId="14" priority="98">
      <formula>$H$65="LOCK STOP"</formula>
    </cfRule>
  </conditionalFormatting>
  <conditionalFormatting sqref="F67:H67">
    <cfRule type="expression" dxfId="13" priority="2">
      <formula>$H$65=$AB$60</formula>
    </cfRule>
  </conditionalFormatting>
  <conditionalFormatting sqref="I101:I109 I113:I122 I126:I135 I142:I153">
    <cfRule type="expression" dxfId="12" priority="1">
      <formula>$H$99=1</formula>
    </cfRule>
  </conditionalFormatting>
  <dataValidations count="9">
    <dataValidation type="list" allowBlank="1" showInputMessage="1" showErrorMessage="1" sqref="H46" xr:uid="{20F74C39-444C-4FD5-B810-2552D74F3AFB}">
      <formula1>$AB$181:$AF$181</formula1>
    </dataValidation>
    <dataValidation type="list" allowBlank="1" showInputMessage="1" showErrorMessage="1" sqref="H72" xr:uid="{80CC5818-23D3-4723-B035-6506B12F0CCA}">
      <formula1>$AA$53:$AA$54</formula1>
    </dataValidation>
    <dataValidation type="list" allowBlank="1" showInputMessage="1" showErrorMessage="1" sqref="H49 H235 H237 H239:H240" xr:uid="{EAA4A80C-5841-47AD-AAF5-84519BFD5F6D}">
      <formula1>$AB$165:$AC$165</formula1>
    </dataValidation>
    <dataValidation type="list" allowBlank="1" showInputMessage="1" showErrorMessage="1" sqref="F39:H39" xr:uid="{0DBFD786-A753-4C24-8DD4-953A884CB6AA}">
      <formula1>$X$37:$X$38</formula1>
    </dataValidation>
    <dataValidation type="list" allowBlank="1" showInputMessage="1" showErrorMessage="1" sqref="H99" xr:uid="{42818DDF-1D78-4430-9F24-6FD6B03BB117}">
      <formula1>"1,2"</formula1>
    </dataValidation>
    <dataValidation type="list" allowBlank="1" showInputMessage="1" showErrorMessage="1" sqref="H45" xr:uid="{080BFD63-7507-4913-A58F-D19D44895220}">
      <formula1>$AA$182:$AA$184</formula1>
    </dataValidation>
    <dataValidation type="list" allowBlank="1" showInputMessage="1" showErrorMessage="1" sqref="H238" xr:uid="{B135F561-4595-4524-907A-81DFDB9693A2}">
      <formula1>IF($H$237="NO",$AB$165:$AC$165,$AB$165)</formula1>
    </dataValidation>
    <dataValidation type="list" allowBlank="1" showInputMessage="1" showErrorMessage="1" sqref="H65" xr:uid="{D63EAC6B-45F1-485C-ADF5-33022D0232FB}">
      <formula1>IF($H$72=$AA$54,$AE$60:$AE$63,$AB$60:$AB$63)</formula1>
    </dataValidation>
    <dataValidation type="list" allowBlank="1" showInputMessage="1" showErrorMessage="1" sqref="H98" xr:uid="{45F85711-4EC2-450C-B204-93FE6100CAF7}">
      <formula1>IF($H$45=3,$AC$165,$AB$165:$AC$165)</formula1>
    </dataValidation>
  </dataValidations>
  <printOptions horizontalCentered="1"/>
  <pageMargins left="0.23622047244094491" right="0.23622047244094491" top="0.74803149606299213" bottom="0.74803149606299213" header="0.31496062992125984" footer="0.31496062992125984"/>
  <pageSetup paperSize="9" scale="47" fitToHeight="0" orientation="portrait" r:id="rId1"/>
  <rowBreaks count="3" manualBreakCount="3">
    <brk id="80" min="3" max="13" man="1"/>
    <brk id="154" min="3" max="13" man="1"/>
    <brk id="232" min="3"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90650" r:id="rId4" name="Button 7706">
              <controlPr locked="0" defaultSize="0" print="0" autoFill="0" autoPict="0" macro="[0]!SalvaInPDF">
                <anchor moveWithCells="1" sizeWithCells="1">
                  <from>
                    <xdr:col>11</xdr:col>
                    <xdr:colOff>1162050</xdr:colOff>
                    <xdr:row>36</xdr:row>
                    <xdr:rowOff>85725</xdr:rowOff>
                  </from>
                  <to>
                    <xdr:col>12</xdr:col>
                    <xdr:colOff>1066800</xdr:colOff>
                    <xdr:row>38</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C75E10F2-CBBE-42E8-881F-D2F6B1FB60E1}">
            <xm:f>NOT(ISERROR(SEARCH("-",F3)))</xm:f>
            <xm:f>"-"</xm:f>
            <x14:dxf>
              <font>
                <color auto="1"/>
              </font>
              <fill>
                <patternFill patternType="solid">
                  <bgColor theme="0" tint="-4.9989318521683403E-2"/>
                </patternFill>
              </fill>
            </x14:dxf>
          </x14:cfRule>
          <xm:sqref>F3:F5 H185 J3:J4</xm:sqref>
        </x14:conditionalFormatting>
        <x14:conditionalFormatting xmlns:xm="http://schemas.microsoft.com/office/excel/2006/main">
          <x14:cfRule type="containsText" priority="9" operator="containsText" id="{15E2A4BF-7D11-4FEA-97AF-44E5C29A6801}">
            <xm:f>NOT(ISERROR(SEARCH("-",H204)))</xm:f>
            <xm:f>"-"</xm:f>
            <x14:dxf>
              <font>
                <color auto="1"/>
              </font>
              <fill>
                <patternFill patternType="none">
                  <bgColor auto="1"/>
                </patternFill>
              </fill>
            </x14:dxf>
          </x14:cfRule>
          <xm:sqref>H204</xm:sqref>
        </x14:conditionalFormatting>
        <x14:conditionalFormatting xmlns:xm="http://schemas.microsoft.com/office/excel/2006/main">
          <x14:cfRule type="containsText" priority="54" operator="containsText" id="{134DF7D7-D44A-471D-B8E5-4FD7D9559FA0}">
            <xm:f>NOT(ISERROR(SEARCH(Translation!$B$209,F185)))</xm:f>
            <xm:f>Translation!$B$209</xm:f>
            <x14:dxf>
              <font>
                <color rgb="FF9C0006"/>
              </font>
              <fill>
                <patternFill>
                  <bgColor rgb="FFFFC7CE"/>
                </patternFill>
              </fill>
            </x14:dxf>
          </x14:cfRule>
          <x14:cfRule type="containsText" priority="55" operator="containsText" id="{F9DC64B8-36FB-4D43-A318-BD9147C32CFC}">
            <xm:f>NOT(ISERROR(SEARCH(Translation!$B$208,F185)))</xm:f>
            <xm:f>Translation!$B$208</xm:f>
            <x14:dxf>
              <font>
                <color rgb="FF006100"/>
              </font>
              <fill>
                <patternFill>
                  <bgColor rgb="FFC6EFCE"/>
                </patternFill>
              </fill>
            </x14:dxf>
          </x14:cfRule>
          <xm:sqref>F185</xm:sqref>
        </x14:conditionalFormatting>
        <x14:conditionalFormatting xmlns:xm="http://schemas.microsoft.com/office/excel/2006/main">
          <x14:cfRule type="containsText" priority="52" operator="containsText" id="{65B9A646-05AA-402E-AEF4-5F9E1EA5A0B1}">
            <xm:f>NOT(ISERROR(SEARCH(Translation!$B$209,F204)))</xm:f>
            <xm:f>Translation!$B$209</xm:f>
            <x14:dxf>
              <font>
                <color rgb="FF9C0006"/>
              </font>
              <fill>
                <patternFill>
                  <bgColor rgb="FFFFC7CE"/>
                </patternFill>
              </fill>
            </x14:dxf>
          </x14:cfRule>
          <x14:cfRule type="containsText" priority="53" operator="containsText" id="{33647315-71E0-4893-BA12-8F3A74AA13E9}">
            <xm:f>NOT(ISERROR(SEARCH(Translation!$B$208,F204)))</xm:f>
            <xm:f>Translation!$B$208</xm:f>
            <x14:dxf>
              <font>
                <color rgb="FF006100"/>
              </font>
              <fill>
                <patternFill>
                  <bgColor rgb="FFC6EFCE"/>
                </patternFill>
              </fill>
            </x14:dxf>
          </x14:cfRule>
          <xm:sqref>F204</xm:sqref>
        </x14:conditionalFormatting>
        <x14:conditionalFormatting xmlns:xm="http://schemas.microsoft.com/office/excel/2006/main">
          <x14:cfRule type="containsText" priority="50" operator="containsText" id="{A147FCD2-30D8-4257-9C53-A7B5CEAF83F9}">
            <xm:f>NOT(ISERROR(SEARCH(Translation!$B$209,F216)))</xm:f>
            <xm:f>Translation!$B$209</xm:f>
            <x14:dxf>
              <font>
                <color rgb="FF9C0006"/>
              </font>
              <fill>
                <patternFill>
                  <bgColor rgb="FFFFC7CE"/>
                </patternFill>
              </fill>
            </x14:dxf>
          </x14:cfRule>
          <x14:cfRule type="containsText" priority="51" operator="containsText" id="{C45A305B-F4F0-4E6C-86F3-F9917C07CD92}">
            <xm:f>NOT(ISERROR(SEARCH(Translation!$B$208,F216)))</xm:f>
            <xm:f>Translation!$B$208</xm:f>
            <x14:dxf>
              <font>
                <color rgb="FF006100"/>
              </font>
              <fill>
                <patternFill>
                  <bgColor rgb="FFC6EFCE"/>
                </patternFill>
              </fill>
            </x14:dxf>
          </x14:cfRule>
          <xm:sqref>F216</xm:sqref>
        </x14:conditionalFormatting>
        <x14:conditionalFormatting xmlns:xm="http://schemas.microsoft.com/office/excel/2006/main">
          <x14:cfRule type="containsText" priority="48" operator="containsText" id="{A5CB73A3-073A-4D7F-AC8A-2D29BED25B68}">
            <xm:f>NOT(ISERROR(SEARCH(Translation!$B$209,F229)))</xm:f>
            <xm:f>Translation!$B$209</xm:f>
            <x14:dxf>
              <font>
                <color rgb="FF9C0006"/>
              </font>
              <fill>
                <patternFill>
                  <bgColor rgb="FFFFC7CE"/>
                </patternFill>
              </fill>
            </x14:dxf>
          </x14:cfRule>
          <x14:cfRule type="containsText" priority="49" operator="containsText" id="{9701C6C4-20BB-47DC-A47F-042339DC0BC5}">
            <xm:f>NOT(ISERROR(SEARCH(Translation!$B$208,F229)))</xm:f>
            <xm:f>Translation!$B$208</xm:f>
            <x14:dxf>
              <font>
                <color rgb="FF006100"/>
              </font>
              <fill>
                <patternFill>
                  <bgColor rgb="FFC6EFCE"/>
                </patternFill>
              </fill>
            </x14:dxf>
          </x14:cfRule>
          <xm:sqref>F229</xm:sqref>
        </x14:conditionalFormatting>
        <x14:conditionalFormatting xmlns:xm="http://schemas.microsoft.com/office/excel/2006/main">
          <x14:cfRule type="containsText" priority="22" operator="containsText" id="{5E5D47D5-908C-4F21-86D1-E2A0D3C04A4C}">
            <xm:f>NOT(ISERROR(SEARCH(Translation!$B$209,F242)))</xm:f>
            <xm:f>Translation!$B$209</xm:f>
            <x14:dxf>
              <font>
                <color rgb="FF9C0006"/>
              </font>
              <fill>
                <patternFill>
                  <bgColor rgb="FFFFC7CE"/>
                </patternFill>
              </fill>
            </x14:dxf>
          </x14:cfRule>
          <x14:cfRule type="containsText" priority="23" operator="containsText" id="{ADB260A9-4369-46D0-9458-CF87BAE21D4A}">
            <xm:f>NOT(ISERROR(SEARCH(Translation!$B$208,F242)))</xm:f>
            <xm:f>Translation!$B$208</xm:f>
            <x14:dxf>
              <font>
                <color rgb="FF006100"/>
              </font>
              <fill>
                <patternFill>
                  <bgColor rgb="FFC6EFCE"/>
                </patternFill>
              </fill>
            </x14:dxf>
          </x14:cfRule>
          <xm:sqref>F242</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44B41BD5-A3FA-43EE-81BB-903D3A24E49E}">
          <x14:formula1>
            <xm:f>Data!$B$4:$B$40</xm:f>
          </x14:formula1>
          <xm:sqref>H71</xm:sqref>
        </x14:dataValidation>
        <x14:dataValidation type="list" allowBlank="1" showInputMessage="1" showErrorMessage="1" xr:uid="{2740173D-BBBD-4E53-9AFC-CD291E22520A}">
          <x14:formula1>
            <xm:f>Data!$AA$4:$AA$22</xm:f>
          </x14:formula1>
          <xm:sqref>H97</xm:sqref>
        </x14:dataValidation>
        <x14:dataValidation type="list" allowBlank="1" showInputMessage="1" showErrorMessage="1" xr:uid="{B5868E72-38F6-4CA2-9228-7F550F3AE4C0}">
          <x14:formula1>
            <xm:f>IF(Data!$AW$8=1,Data!$AW$9,IF(Data!$AW$8=2,Data!$AW$9:$AW$10,Data!$AW$9:$AW$11))</xm:f>
          </x14:formula1>
          <xm:sqref>I97</xm:sqref>
        </x14:dataValidation>
        <x14:dataValidation type="list" allowBlank="1" showInputMessage="1" showErrorMessage="1" xr:uid="{F3C7CFF6-F4E7-442E-B362-F304693DD741}">
          <x14:formula1>
            <xm:f>Screws!$V$28:$V$34</xm:f>
          </x14:formula1>
          <xm:sqref>H124</xm:sqref>
        </x14:dataValidation>
        <x14:dataValidation type="list" allowBlank="1" showInputMessage="1" showErrorMessage="1" xr:uid="{23B06BDC-F583-4FD1-948D-894D78002DB4}">
          <x14:formula1>
            <xm:f>Data!$EC$4:$EC$40</xm:f>
          </x14:formula1>
          <xm:sqref>H85</xm:sqref>
        </x14:dataValidation>
        <x14:dataValidation type="list" allowBlank="1" showInputMessage="1" showErrorMessage="1" xr:uid="{525C9718-EE60-4D86-987F-17F8C145B7A0}">
          <x14:formula1>
            <xm:f>Translation!$L$9:$L$14</xm:f>
          </x14:formula1>
          <xm:sqref>M34:M35</xm:sqref>
        </x14:dataValidation>
        <x14:dataValidation type="list" allowBlank="1" showInputMessage="1" showErrorMessage="1" xr:uid="{425DF6B3-CCB0-461E-ADB9-132436AFC572}">
          <x14:formula1>
            <xm:f>IF($AC$86&lt;130,IF($H$45=3,Screws!$O$11:$O$24,Screws!$O$6:$O$24),IF($H$45=3,Screws!$R$9:$R$15,Screws!$R$6:$R$15))</xm:f>
          </x14:formula1>
          <xm:sqref>H111</xm:sqref>
        </x14:dataValidation>
        <x14:dataValidation type="list" allowBlank="1" showInputMessage="1" showErrorMessage="1" xr:uid="{C037DF57-0761-4772-951C-00A8DB058E5F}">
          <x14:formula1>
            <xm:f>IF($H$65="LOCK STOP",IF(H99=1,Data!$BD$4:$BD$5,IF(H99=2,IF(H104&lt;135,Data!BF4,IF(H104&gt;=135,Data!BG4:BG5,IF($H$65="Viti inclinate",$H$141,"-"))))))</xm:f>
          </x14:formula1>
          <xm:sqref>H138</xm:sqref>
        </x14:dataValidation>
        <x14:dataValidation type="list" allowBlank="1" showInputMessage="1" showErrorMessage="1" xr:uid="{7CA99C84-04A7-4CC2-94BA-8F1D6E77C397}">
          <x14:formula1>
            <xm:f>IF(H97="LOCK-T 18 80",Screws!C37,IF($AC$86&lt;130,IF(H45=3,Screws!V13:V14,Screws!$V$6:$V$9),IF(H45=3,Screws!X13:X16,Screws!$X$6:$X$11)))</xm:f>
          </x14:formula1>
          <xm:sqref>H141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1">
    <tabColor theme="9" tint="0.39997558519241921"/>
  </sheetPr>
  <dimension ref="B2:AZ81"/>
  <sheetViews>
    <sheetView showRowColHeaders="0" view="pageBreakPreview" zoomScale="85" zoomScaleNormal="85" zoomScaleSheetLayoutView="85" workbookViewId="0">
      <selection activeCell="B3" sqref="B3:J3"/>
    </sheetView>
  </sheetViews>
  <sheetFormatPr defaultRowHeight="12.75" x14ac:dyDescent="0.2"/>
  <cols>
    <col min="1" max="1" width="2.875" customWidth="1"/>
    <col min="2" max="2" width="15.375" customWidth="1"/>
    <col min="3" max="3" width="26.625" customWidth="1"/>
    <col min="4" max="4" width="15.5" bestFit="1" customWidth="1"/>
    <col min="5" max="5" width="12.625" style="2" customWidth="1"/>
    <col min="6" max="7" width="12.625" customWidth="1"/>
    <col min="8" max="10" width="10.625" customWidth="1"/>
    <col min="11" max="11" width="10.625" hidden="1" customWidth="1"/>
    <col min="12" max="12" width="3.125" hidden="1" customWidth="1"/>
    <col min="13" max="15" width="15.625" hidden="1" customWidth="1"/>
    <col min="16" max="32" width="9" hidden="1" customWidth="1"/>
    <col min="33" max="33" width="24" hidden="1" customWidth="1"/>
    <col min="34" max="34" width="19.875" hidden="1" customWidth="1"/>
    <col min="35" max="35" width="18.625" hidden="1" customWidth="1"/>
    <col min="36" max="36" width="15.875" hidden="1" customWidth="1"/>
    <col min="37" max="37" width="11.875" hidden="1" customWidth="1"/>
    <col min="38" max="38" width="18.25" hidden="1" customWidth="1"/>
    <col min="39" max="39" width="36.75" hidden="1" customWidth="1"/>
    <col min="40" max="40" width="18.875" hidden="1" customWidth="1"/>
    <col min="41" max="41" width="36.75" hidden="1" customWidth="1"/>
    <col min="42" max="42" width="41.875" hidden="1" customWidth="1"/>
    <col min="43" max="52" width="9" hidden="1" customWidth="1"/>
  </cols>
  <sheetData>
    <row r="2" spans="2:46" ht="13.5" thickBot="1" x14ac:dyDescent="0.25"/>
    <row r="3" spans="2:46" ht="39.950000000000003" customHeight="1" thickBot="1" x14ac:dyDescent="0.25">
      <c r="B3" s="412" t="str">
        <f>Translation!B10</f>
        <v>Geometría y características de los tornillos</v>
      </c>
      <c r="C3" s="413"/>
      <c r="D3" s="413"/>
      <c r="E3" s="413"/>
      <c r="F3" s="413"/>
      <c r="G3" s="413"/>
      <c r="H3" s="413"/>
      <c r="I3" s="413"/>
      <c r="J3" s="414"/>
      <c r="K3" s="58"/>
      <c r="AG3" s="216" t="s">
        <v>321</v>
      </c>
      <c r="AH3" s="99" t="s">
        <v>283</v>
      </c>
      <c r="AI3" s="99" t="s">
        <v>284</v>
      </c>
      <c r="AJ3" s="99" t="s">
        <v>285</v>
      </c>
      <c r="AK3" s="99" t="s">
        <v>11</v>
      </c>
      <c r="AL3" s="99" t="s">
        <v>286</v>
      </c>
      <c r="AM3" s="99" t="s">
        <v>287</v>
      </c>
      <c r="AN3" s="99" t="s">
        <v>288</v>
      </c>
      <c r="AO3" s="99" t="s">
        <v>289</v>
      </c>
      <c r="AP3" s="99" t="s">
        <v>322</v>
      </c>
    </row>
    <row r="4" spans="2:46" s="3" customFormat="1" ht="17.25" x14ac:dyDescent="0.2">
      <c r="B4" s="415" t="str">
        <f>Translation!B11</f>
        <v>Tipo de tornillo</v>
      </c>
      <c r="C4" s="416"/>
      <c r="D4" s="417"/>
      <c r="E4" s="66" t="str">
        <f>Translation!B12</f>
        <v>Diámetro</v>
      </c>
      <c r="F4" s="67"/>
      <c r="G4" s="66" t="str">
        <f>Translation!B13</f>
        <v>Longitud</v>
      </c>
      <c r="H4" s="68" t="str">
        <f>CONCATENATE(Translation!B14," b")</f>
        <v>Rosca b</v>
      </c>
      <c r="I4" s="66" t="s">
        <v>12</v>
      </c>
      <c r="J4" s="69" t="s">
        <v>13</v>
      </c>
      <c r="K4" s="59"/>
      <c r="AH4" s="197" t="s">
        <v>291</v>
      </c>
      <c r="AI4" s="197" t="s">
        <v>292</v>
      </c>
      <c r="AJ4" s="197" t="s">
        <v>293</v>
      </c>
      <c r="AK4" s="197" t="s">
        <v>290</v>
      </c>
      <c r="AL4" s="197" t="s">
        <v>294</v>
      </c>
      <c r="AM4" s="197" t="s">
        <v>295</v>
      </c>
      <c r="AN4" s="197" t="s">
        <v>296</v>
      </c>
      <c r="AO4" s="197" t="s">
        <v>297</v>
      </c>
      <c r="AP4" s="197" t="s">
        <v>323</v>
      </c>
      <c r="AT4" s="3" t="s">
        <v>513</v>
      </c>
    </row>
    <row r="5" spans="2:46" s="3" customFormat="1" ht="15" customHeight="1" thickBot="1" x14ac:dyDescent="0.25">
      <c r="B5" s="418"/>
      <c r="C5" s="419"/>
      <c r="D5" s="420"/>
      <c r="E5" s="70" t="s">
        <v>14</v>
      </c>
      <c r="F5" s="71"/>
      <c r="G5" s="64" t="s">
        <v>14</v>
      </c>
      <c r="H5" s="63" t="s">
        <v>14</v>
      </c>
      <c r="I5" s="64" t="s">
        <v>15</v>
      </c>
      <c r="J5" s="65" t="s">
        <v>16</v>
      </c>
      <c r="K5" s="59"/>
      <c r="AH5" s="197" t="s">
        <v>261</v>
      </c>
      <c r="AI5" s="197" t="s">
        <v>261</v>
      </c>
      <c r="AJ5" s="197" t="s">
        <v>261</v>
      </c>
      <c r="AK5" s="197" t="s">
        <v>261</v>
      </c>
      <c r="AL5" s="197" t="s">
        <v>261</v>
      </c>
      <c r="AM5" s="197" t="s">
        <v>299</v>
      </c>
      <c r="AN5" s="197" t="s">
        <v>300</v>
      </c>
      <c r="AO5" s="197" t="s">
        <v>258</v>
      </c>
      <c r="AP5" s="197" t="s">
        <v>324</v>
      </c>
    </row>
    <row r="6" spans="2:46" ht="24.95" customHeight="1" thickBot="1" x14ac:dyDescent="0.25">
      <c r="B6" s="19" t="s">
        <v>17</v>
      </c>
      <c r="C6" s="23" t="str">
        <f t="shared" ref="C6:C23" si="0">D6&amp;" Ø "&amp;E6&amp;" x "&amp;G6</f>
        <v>LBS Ø 5 x 25</v>
      </c>
      <c r="D6" s="8" t="s">
        <v>18</v>
      </c>
      <c r="E6" s="9">
        <v>5</v>
      </c>
      <c r="F6" s="9" t="s">
        <v>19</v>
      </c>
      <c r="G6" s="9">
        <v>25</v>
      </c>
      <c r="H6" s="7">
        <v>21</v>
      </c>
      <c r="I6" s="7">
        <v>5417.2</v>
      </c>
      <c r="J6" s="60">
        <v>7900</v>
      </c>
      <c r="K6" s="85" t="s">
        <v>17</v>
      </c>
      <c r="O6" s="254" t="str">
        <f>C6</f>
        <v>LBS Ø 5 x 25</v>
      </c>
      <c r="R6" s="254" t="str">
        <f>C11</f>
        <v>LBS Ø 7 x 60</v>
      </c>
      <c r="V6" t="str">
        <f>O6</f>
        <v>LBS Ø 5 x 25</v>
      </c>
      <c r="X6" t="str">
        <f>O6</f>
        <v>LBS Ø 5 x 25</v>
      </c>
      <c r="AG6" t="str">
        <f>C6</f>
        <v>LBS Ø 5 x 25</v>
      </c>
      <c r="AH6" s="2">
        <f>E6</f>
        <v>5</v>
      </c>
      <c r="AI6" s="2">
        <f>IF(AH6=5,3,4.4)</f>
        <v>3</v>
      </c>
      <c r="AJ6" s="2">
        <f>IF(AH6=5,7.8,11)</f>
        <v>7.8</v>
      </c>
      <c r="AK6" s="2">
        <f>G6</f>
        <v>25</v>
      </c>
      <c r="AL6" s="2">
        <f>H6</f>
        <v>21</v>
      </c>
      <c r="AM6" s="2">
        <v>11.7</v>
      </c>
      <c r="AN6" s="2">
        <v>350</v>
      </c>
      <c r="AO6" s="2">
        <f>IF(AH6=5,7.9,15.4)</f>
        <v>7.9</v>
      </c>
      <c r="AP6" s="2">
        <f>IF(AH6=5,5.4,14.2)</f>
        <v>5.4</v>
      </c>
      <c r="AS6" s="19" t="s">
        <v>17</v>
      </c>
      <c r="AT6">
        <v>500</v>
      </c>
    </row>
    <row r="7" spans="2:46" ht="24.95" customHeight="1" x14ac:dyDescent="0.2">
      <c r="B7" s="14" t="s">
        <v>20</v>
      </c>
      <c r="C7" s="24" t="str">
        <f t="shared" si="0"/>
        <v>LBS Ø 5 x 40</v>
      </c>
      <c r="D7" s="5" t="s">
        <v>18</v>
      </c>
      <c r="E7" s="6">
        <v>5</v>
      </c>
      <c r="F7" s="6" t="s">
        <v>19</v>
      </c>
      <c r="G7" s="6">
        <v>40</v>
      </c>
      <c r="H7" s="7">
        <v>36</v>
      </c>
      <c r="I7" s="4">
        <f>I6</f>
        <v>5417.2</v>
      </c>
      <c r="J7" s="56">
        <f>J6</f>
        <v>7900</v>
      </c>
      <c r="K7" s="85" t="s">
        <v>20</v>
      </c>
      <c r="O7" t="str">
        <f t="shared" ref="O7:O10" si="1">C7</f>
        <v>LBS Ø 5 x 40</v>
      </c>
      <c r="R7" t="str">
        <f t="shared" ref="R7:R8" si="2">C12</f>
        <v>LBS Ø 7 x 80</v>
      </c>
      <c r="V7" t="str">
        <f>O7</f>
        <v>LBS Ø 5 x 40</v>
      </c>
      <c r="X7" t="str">
        <f t="shared" ref="X7:X9" si="3">O7</f>
        <v>LBS Ø 5 x 40</v>
      </c>
      <c r="AG7" t="str">
        <f t="shared" ref="AG7:AG29" si="4">C7</f>
        <v>LBS Ø 5 x 40</v>
      </c>
      <c r="AH7" s="2">
        <f t="shared" ref="AH7:AH29" si="5">E7</f>
        <v>5</v>
      </c>
      <c r="AI7" s="2">
        <f t="shared" ref="AI7:AI12" si="6">IF(AH7=5,3,4.4)</f>
        <v>3</v>
      </c>
      <c r="AJ7" s="2">
        <f t="shared" ref="AJ7:AJ13" si="7">IF(AH7=5,7.8,11)</f>
        <v>7.8</v>
      </c>
      <c r="AK7" s="2">
        <f t="shared" ref="AK7:AK29" si="8">G7</f>
        <v>40</v>
      </c>
      <c r="AL7" s="2">
        <f t="shared" ref="AL7:AL29" si="9">H7</f>
        <v>36</v>
      </c>
      <c r="AM7" s="2">
        <v>11.7</v>
      </c>
      <c r="AN7" s="2">
        <v>350</v>
      </c>
      <c r="AO7" s="2">
        <f t="shared" ref="AO7:AO13" si="10">IF(AH7=5,7.9,15.4)</f>
        <v>7.9</v>
      </c>
      <c r="AP7" s="2">
        <f t="shared" ref="AP7:AP13" si="11">IF(AH7=5,5.4,14.2)</f>
        <v>5.4</v>
      </c>
      <c r="AS7" s="14" t="s">
        <v>20</v>
      </c>
      <c r="AT7">
        <v>500</v>
      </c>
    </row>
    <row r="8" spans="2:46" ht="24.95" customHeight="1" thickBot="1" x14ac:dyDescent="0.25">
      <c r="B8" s="14" t="s">
        <v>21</v>
      </c>
      <c r="C8" s="24" t="str">
        <f t="shared" si="0"/>
        <v>LBS Ø 5 x 50</v>
      </c>
      <c r="D8" s="5" t="s">
        <v>18</v>
      </c>
      <c r="E8" s="6">
        <v>5</v>
      </c>
      <c r="F8" s="6" t="s">
        <v>19</v>
      </c>
      <c r="G8" s="6">
        <v>50</v>
      </c>
      <c r="H8" s="7">
        <v>46</v>
      </c>
      <c r="I8" s="4">
        <f t="shared" ref="I8:J23" si="12">I7</f>
        <v>5417.2</v>
      </c>
      <c r="J8" s="56">
        <f t="shared" si="12"/>
        <v>7900</v>
      </c>
      <c r="K8" s="85" t="s">
        <v>21</v>
      </c>
      <c r="O8" t="str">
        <f t="shared" si="1"/>
        <v>LBS Ø 5 x 50</v>
      </c>
      <c r="R8" t="str">
        <f t="shared" si="2"/>
        <v>LBS Ø 7 x 100</v>
      </c>
      <c r="V8" t="str">
        <f>O8</f>
        <v>LBS Ø 5 x 50</v>
      </c>
      <c r="X8" t="str">
        <f t="shared" si="3"/>
        <v>LBS Ø 5 x 50</v>
      </c>
      <c r="AG8" t="str">
        <f t="shared" si="4"/>
        <v>LBS Ø 5 x 50</v>
      </c>
      <c r="AH8" s="2">
        <f t="shared" si="5"/>
        <v>5</v>
      </c>
      <c r="AI8" s="2">
        <f t="shared" si="6"/>
        <v>3</v>
      </c>
      <c r="AJ8" s="2">
        <f t="shared" si="7"/>
        <v>7.8</v>
      </c>
      <c r="AK8" s="2">
        <f t="shared" si="8"/>
        <v>50</v>
      </c>
      <c r="AL8" s="2">
        <f t="shared" si="9"/>
        <v>46</v>
      </c>
      <c r="AM8" s="2">
        <v>11.7</v>
      </c>
      <c r="AN8" s="2">
        <v>350</v>
      </c>
      <c r="AO8" s="2">
        <f t="shared" si="10"/>
        <v>7.9</v>
      </c>
      <c r="AP8" s="2">
        <f t="shared" si="11"/>
        <v>5.4</v>
      </c>
      <c r="AS8" s="14" t="s">
        <v>21</v>
      </c>
      <c r="AT8">
        <v>200</v>
      </c>
    </row>
    <row r="9" spans="2:46" ht="24.95" customHeight="1" thickBot="1" x14ac:dyDescent="0.25">
      <c r="B9" s="14" t="s">
        <v>22</v>
      </c>
      <c r="C9" s="24" t="str">
        <f t="shared" si="0"/>
        <v>LBS Ø 5 x 60</v>
      </c>
      <c r="D9" s="5" t="s">
        <v>18</v>
      </c>
      <c r="E9" s="6">
        <v>5</v>
      </c>
      <c r="F9" s="6" t="s">
        <v>19</v>
      </c>
      <c r="G9" s="6">
        <v>60</v>
      </c>
      <c r="H9" s="7">
        <v>56</v>
      </c>
      <c r="I9" s="4">
        <f t="shared" si="12"/>
        <v>5417.2</v>
      </c>
      <c r="J9" s="56">
        <f t="shared" si="12"/>
        <v>7900</v>
      </c>
      <c r="K9" s="85" t="s">
        <v>22</v>
      </c>
      <c r="O9" t="str">
        <f t="shared" si="1"/>
        <v>LBS Ø 5 x 60</v>
      </c>
      <c r="R9" s="254" t="str">
        <f>C21</f>
        <v>KKF Ø 6 x 80</v>
      </c>
      <c r="V9" t="s">
        <v>145</v>
      </c>
      <c r="X9" t="str">
        <f t="shared" si="3"/>
        <v>LBS Ø 5 x 60</v>
      </c>
      <c r="AG9" t="str">
        <f t="shared" si="4"/>
        <v>LBS Ø 5 x 60</v>
      </c>
      <c r="AH9" s="2">
        <f t="shared" si="5"/>
        <v>5</v>
      </c>
      <c r="AI9" s="2">
        <f t="shared" si="6"/>
        <v>3</v>
      </c>
      <c r="AJ9" s="2">
        <f t="shared" si="7"/>
        <v>7.8</v>
      </c>
      <c r="AK9" s="2">
        <f t="shared" si="8"/>
        <v>60</v>
      </c>
      <c r="AL9" s="2">
        <f t="shared" si="9"/>
        <v>56</v>
      </c>
      <c r="AM9" s="2">
        <v>11.7</v>
      </c>
      <c r="AN9" s="2">
        <v>350</v>
      </c>
      <c r="AO9" s="2">
        <f t="shared" si="10"/>
        <v>7.9</v>
      </c>
      <c r="AP9" s="2">
        <f t="shared" si="11"/>
        <v>5.4</v>
      </c>
      <c r="AS9" s="14" t="s">
        <v>22</v>
      </c>
      <c r="AT9">
        <v>200</v>
      </c>
    </row>
    <row r="10" spans="2:46" ht="24.95" customHeight="1" thickBot="1" x14ac:dyDescent="0.25">
      <c r="B10" s="15" t="s">
        <v>23</v>
      </c>
      <c r="C10" s="25" t="str">
        <f t="shared" si="0"/>
        <v>LBS Ø 5 x 70</v>
      </c>
      <c r="D10" s="17" t="s">
        <v>18</v>
      </c>
      <c r="E10" s="18">
        <v>5</v>
      </c>
      <c r="F10" s="18" t="s">
        <v>19</v>
      </c>
      <c r="G10" s="173">
        <v>70</v>
      </c>
      <c r="H10" s="35">
        <v>66</v>
      </c>
      <c r="I10" s="16">
        <f t="shared" si="12"/>
        <v>5417.2</v>
      </c>
      <c r="J10" s="57">
        <f t="shared" si="12"/>
        <v>7900</v>
      </c>
      <c r="K10" s="85" t="s">
        <v>23</v>
      </c>
      <c r="M10" t="str">
        <f>C15</f>
        <v>KKF Ø 5 x 50</v>
      </c>
      <c r="O10" t="str">
        <f t="shared" si="1"/>
        <v>LBS Ø 5 x 70</v>
      </c>
      <c r="R10" t="str">
        <f t="shared" ref="R10:R11" si="13">C22</f>
        <v>KKF Ø 6 x 100</v>
      </c>
      <c r="X10" t="str">
        <f>O10</f>
        <v>LBS Ø 5 x 70</v>
      </c>
      <c r="AG10" s="217" t="str">
        <f t="shared" si="4"/>
        <v>LBS Ø 5 x 70</v>
      </c>
      <c r="AH10" s="218">
        <f t="shared" si="5"/>
        <v>5</v>
      </c>
      <c r="AI10" s="218">
        <f t="shared" si="6"/>
        <v>3</v>
      </c>
      <c r="AJ10" s="218">
        <f t="shared" si="7"/>
        <v>7.8</v>
      </c>
      <c r="AK10" s="218">
        <f t="shared" si="8"/>
        <v>70</v>
      </c>
      <c r="AL10" s="218">
        <f t="shared" si="9"/>
        <v>66</v>
      </c>
      <c r="AM10" s="218">
        <v>11.7</v>
      </c>
      <c r="AN10" s="218">
        <v>350</v>
      </c>
      <c r="AO10" s="218">
        <f t="shared" si="10"/>
        <v>7.9</v>
      </c>
      <c r="AP10" s="218">
        <f t="shared" si="11"/>
        <v>5.4</v>
      </c>
      <c r="AS10" s="15" t="s">
        <v>23</v>
      </c>
      <c r="AT10">
        <v>200</v>
      </c>
    </row>
    <row r="11" spans="2:46" ht="24.95" customHeight="1" thickBot="1" x14ac:dyDescent="0.25">
      <c r="B11" s="10" t="s">
        <v>24</v>
      </c>
      <c r="C11" s="26" t="str">
        <f t="shared" si="0"/>
        <v>LBS Ø 7 x 60</v>
      </c>
      <c r="D11" s="12" t="s">
        <v>18</v>
      </c>
      <c r="E11" s="13">
        <v>7</v>
      </c>
      <c r="F11" s="13" t="s">
        <v>19</v>
      </c>
      <c r="G11" s="174">
        <v>60</v>
      </c>
      <c r="H11" s="87">
        <v>55</v>
      </c>
      <c r="I11" s="11">
        <v>14174</v>
      </c>
      <c r="J11" s="55">
        <v>19200</v>
      </c>
      <c r="K11" s="85" t="s">
        <v>24</v>
      </c>
      <c r="M11">
        <f>VLOOKUP(M10,Screws!$C$6:$J$29,8,FALSE)</f>
        <v>7900</v>
      </c>
      <c r="O11" s="254" t="str">
        <f t="shared" ref="O11:O17" si="14">C14</f>
        <v>KKF Ø 5 x 40</v>
      </c>
      <c r="R11" t="str">
        <f t="shared" si="13"/>
        <v>KKF Ø 6 x 120</v>
      </c>
      <c r="X11" t="s">
        <v>145</v>
      </c>
      <c r="AG11" s="219" t="str">
        <f t="shared" si="4"/>
        <v>LBS Ø 7 x 60</v>
      </c>
      <c r="AH11" s="220">
        <f t="shared" si="5"/>
        <v>7</v>
      </c>
      <c r="AI11" s="220">
        <f t="shared" si="6"/>
        <v>4.4000000000000004</v>
      </c>
      <c r="AJ11" s="220">
        <f t="shared" si="7"/>
        <v>11</v>
      </c>
      <c r="AK11" s="220">
        <f t="shared" si="8"/>
        <v>60</v>
      </c>
      <c r="AL11" s="220">
        <f t="shared" si="9"/>
        <v>55</v>
      </c>
      <c r="AM11" s="2">
        <v>11.7</v>
      </c>
      <c r="AN11" s="220">
        <v>350</v>
      </c>
      <c r="AO11" s="2">
        <f t="shared" si="10"/>
        <v>15.4</v>
      </c>
      <c r="AP11" s="2">
        <f t="shared" si="11"/>
        <v>14.2</v>
      </c>
      <c r="AS11" s="10" t="s">
        <v>24</v>
      </c>
      <c r="AT11">
        <v>100</v>
      </c>
    </row>
    <row r="12" spans="2:46" ht="24.95" customHeight="1" thickBot="1" x14ac:dyDescent="0.25">
      <c r="B12" s="14" t="s">
        <v>25</v>
      </c>
      <c r="C12" s="24" t="str">
        <f t="shared" si="0"/>
        <v>LBS Ø 7 x 80</v>
      </c>
      <c r="D12" s="5" t="s">
        <v>18</v>
      </c>
      <c r="E12" s="6">
        <v>7</v>
      </c>
      <c r="F12" s="6" t="s">
        <v>19</v>
      </c>
      <c r="G12" s="175">
        <v>80</v>
      </c>
      <c r="H12" s="87">
        <v>75</v>
      </c>
      <c r="I12" s="4">
        <f>I11</f>
        <v>14174</v>
      </c>
      <c r="J12" s="56">
        <f>J11</f>
        <v>19200</v>
      </c>
      <c r="K12" s="85" t="s">
        <v>25</v>
      </c>
      <c r="O12" t="str">
        <f t="shared" si="14"/>
        <v>KKF Ø 5 x 50</v>
      </c>
      <c r="R12" s="254" t="str">
        <f>C28</f>
        <v>HBS PLATE EVO Ø 6 x 80</v>
      </c>
      <c r="AG12" t="str">
        <f t="shared" si="4"/>
        <v>LBS Ø 7 x 80</v>
      </c>
      <c r="AH12" s="2">
        <f t="shared" si="5"/>
        <v>7</v>
      </c>
      <c r="AI12" s="2">
        <f t="shared" si="6"/>
        <v>4.4000000000000004</v>
      </c>
      <c r="AJ12" s="2">
        <f t="shared" si="7"/>
        <v>11</v>
      </c>
      <c r="AK12" s="2">
        <f t="shared" si="8"/>
        <v>80</v>
      </c>
      <c r="AL12" s="2">
        <f t="shared" si="9"/>
        <v>75</v>
      </c>
      <c r="AM12" s="2">
        <v>11.7</v>
      </c>
      <c r="AN12" s="2">
        <v>350</v>
      </c>
      <c r="AO12" s="2">
        <f t="shared" si="10"/>
        <v>15.4</v>
      </c>
      <c r="AP12" s="2">
        <f t="shared" si="11"/>
        <v>14.2</v>
      </c>
      <c r="AS12" s="14" t="s">
        <v>25</v>
      </c>
      <c r="AT12">
        <v>100</v>
      </c>
    </row>
    <row r="13" spans="2:46" ht="24.95" customHeight="1" thickBot="1" x14ac:dyDescent="0.25">
      <c r="B13" s="20" t="s">
        <v>26</v>
      </c>
      <c r="C13" s="27" t="str">
        <f t="shared" si="0"/>
        <v>LBS Ø 7 x 100</v>
      </c>
      <c r="D13" s="83" t="s">
        <v>18</v>
      </c>
      <c r="E13" s="84">
        <v>7</v>
      </c>
      <c r="F13" s="84" t="s">
        <v>19</v>
      </c>
      <c r="G13" s="89">
        <v>100</v>
      </c>
      <c r="H13" s="87">
        <v>95</v>
      </c>
      <c r="I13" s="21">
        <f>I12</f>
        <v>14174</v>
      </c>
      <c r="J13" s="61">
        <f>J12</f>
        <v>19200</v>
      </c>
      <c r="K13" s="85" t="s">
        <v>26</v>
      </c>
      <c r="O13" t="str">
        <f t="shared" si="14"/>
        <v>KKF Ø 5 x 60</v>
      </c>
      <c r="R13" t="str">
        <f>C29</f>
        <v>HBS PLATE EVO Ø 6 x 90</v>
      </c>
      <c r="V13" t="s">
        <v>1270</v>
      </c>
      <c r="X13" t="s">
        <v>1270</v>
      </c>
      <c r="AG13" s="217" t="str">
        <f t="shared" si="4"/>
        <v>LBS Ø 7 x 100</v>
      </c>
      <c r="AH13" s="218">
        <f t="shared" si="5"/>
        <v>7</v>
      </c>
      <c r="AI13" s="218">
        <f>IF(AH13=5,3,4.4)</f>
        <v>4.4000000000000004</v>
      </c>
      <c r="AJ13" s="218">
        <f t="shared" si="7"/>
        <v>11</v>
      </c>
      <c r="AK13" s="218">
        <f t="shared" si="8"/>
        <v>100</v>
      </c>
      <c r="AL13" s="218">
        <f t="shared" si="9"/>
        <v>95</v>
      </c>
      <c r="AM13" s="218">
        <v>11.7</v>
      </c>
      <c r="AN13" s="218">
        <v>350</v>
      </c>
      <c r="AO13" s="218">
        <f t="shared" si="10"/>
        <v>15.4</v>
      </c>
      <c r="AP13" s="218">
        <f t="shared" si="11"/>
        <v>14.2</v>
      </c>
      <c r="AS13" s="20" t="s">
        <v>26</v>
      </c>
      <c r="AT13">
        <v>100</v>
      </c>
    </row>
    <row r="14" spans="2:46" ht="24.95" customHeight="1" thickBot="1" x14ac:dyDescent="0.25">
      <c r="B14" s="10" t="s">
        <v>27</v>
      </c>
      <c r="C14" s="26" t="str">
        <f t="shared" si="0"/>
        <v>KKF Ø 5 x 40</v>
      </c>
      <c r="D14" s="12" t="s">
        <v>28</v>
      </c>
      <c r="E14" s="13">
        <v>5</v>
      </c>
      <c r="F14" s="13" t="s">
        <v>19</v>
      </c>
      <c r="G14" s="13">
        <v>40</v>
      </c>
      <c r="H14" s="11">
        <v>24</v>
      </c>
      <c r="I14" s="22">
        <v>5417.2</v>
      </c>
      <c r="J14" s="62">
        <v>7900</v>
      </c>
      <c r="K14" s="85" t="s">
        <v>27</v>
      </c>
      <c r="O14" t="str">
        <f t="shared" si="14"/>
        <v>KKF Ø 5 x 70</v>
      </c>
      <c r="R14" s="254" t="s">
        <v>1273</v>
      </c>
      <c r="V14" t="s">
        <v>145</v>
      </c>
      <c r="X14" t="s">
        <v>1271</v>
      </c>
      <c r="AG14" t="str">
        <f t="shared" si="4"/>
        <v>KKF Ø 5 x 40</v>
      </c>
      <c r="AH14" s="2">
        <f t="shared" si="5"/>
        <v>5</v>
      </c>
      <c r="AI14" s="2">
        <f>IF(AH14=5,3.25,4.05)</f>
        <v>3.25</v>
      </c>
      <c r="AJ14" s="2">
        <f>IF(AH14=5,9.65,11.65)</f>
        <v>9.65</v>
      </c>
      <c r="AK14" s="2">
        <f t="shared" si="8"/>
        <v>40</v>
      </c>
      <c r="AL14" s="2">
        <f t="shared" si="9"/>
        <v>24</v>
      </c>
      <c r="AM14" s="2">
        <v>11.7</v>
      </c>
      <c r="AN14" s="2">
        <v>350</v>
      </c>
      <c r="AO14" s="2">
        <f>IF(AH14=5,7.9,11.3)</f>
        <v>7.9</v>
      </c>
      <c r="AP14" s="2">
        <f>IF(AH14=5,4.5,8.2)</f>
        <v>4.5</v>
      </c>
      <c r="AS14" s="10" t="s">
        <v>27</v>
      </c>
      <c r="AT14">
        <v>200</v>
      </c>
    </row>
    <row r="15" spans="2:46" ht="24.95" customHeight="1" x14ac:dyDescent="0.2">
      <c r="B15" s="14" t="s">
        <v>29</v>
      </c>
      <c r="C15" s="24" t="str">
        <f t="shared" si="0"/>
        <v>KKF Ø 5 x 50</v>
      </c>
      <c r="D15" s="5" t="s">
        <v>28</v>
      </c>
      <c r="E15" s="6">
        <v>5</v>
      </c>
      <c r="F15" s="6" t="s">
        <v>19</v>
      </c>
      <c r="G15" s="6">
        <v>50</v>
      </c>
      <c r="H15" s="4">
        <v>30</v>
      </c>
      <c r="I15" s="21">
        <f t="shared" si="12"/>
        <v>5417.2</v>
      </c>
      <c r="J15" s="61">
        <f t="shared" si="12"/>
        <v>7900</v>
      </c>
      <c r="K15" s="85" t="s">
        <v>29</v>
      </c>
      <c r="O15" t="str">
        <f t="shared" si="14"/>
        <v>KKF Ø 5 x 80</v>
      </c>
      <c r="R15" t="s">
        <v>1274</v>
      </c>
      <c r="X15" t="s">
        <v>1272</v>
      </c>
      <c r="AG15" t="str">
        <f t="shared" si="4"/>
        <v>KKF Ø 5 x 50</v>
      </c>
      <c r="AH15" s="2">
        <f t="shared" si="5"/>
        <v>5</v>
      </c>
      <c r="AI15" s="2">
        <f t="shared" ref="AI15:AI23" si="15">IF(AH15=5,3.25,4.05)</f>
        <v>3.25</v>
      </c>
      <c r="AJ15" s="2">
        <f t="shared" ref="AJ15:AJ23" si="16">IF(AH15=5,9.65,11.65)</f>
        <v>9.65</v>
      </c>
      <c r="AK15" s="2">
        <f t="shared" si="8"/>
        <v>50</v>
      </c>
      <c r="AL15" s="2">
        <f t="shared" si="9"/>
        <v>30</v>
      </c>
      <c r="AM15" s="2">
        <v>11.7</v>
      </c>
      <c r="AN15" s="2">
        <v>350</v>
      </c>
      <c r="AO15" s="2">
        <f t="shared" ref="AO15:AO29" si="17">IF(AH15=5,7.9,11.3)</f>
        <v>7.9</v>
      </c>
      <c r="AP15" s="2">
        <f t="shared" ref="AP15:AP23" si="18">IF(AH15=5,4.5,8.2)</f>
        <v>4.5</v>
      </c>
      <c r="AS15" s="14" t="s">
        <v>29</v>
      </c>
      <c r="AT15">
        <v>200</v>
      </c>
    </row>
    <row r="16" spans="2:46" ht="24.95" customHeight="1" x14ac:dyDescent="0.2">
      <c r="B16" s="14" t="s">
        <v>30</v>
      </c>
      <c r="C16" s="24" t="str">
        <f t="shared" si="0"/>
        <v>KKF Ø 5 x 60</v>
      </c>
      <c r="D16" s="5" t="s">
        <v>28</v>
      </c>
      <c r="E16" s="6">
        <v>5</v>
      </c>
      <c r="F16" s="6" t="s">
        <v>19</v>
      </c>
      <c r="G16" s="6">
        <v>60</v>
      </c>
      <c r="H16" s="4">
        <v>35</v>
      </c>
      <c r="I16" s="21">
        <f t="shared" si="12"/>
        <v>5417.2</v>
      </c>
      <c r="J16" s="61">
        <f t="shared" si="12"/>
        <v>7900</v>
      </c>
      <c r="K16" s="85" t="s">
        <v>30</v>
      </c>
      <c r="O16" t="str">
        <f t="shared" si="14"/>
        <v>KKF Ø 5 x 90</v>
      </c>
      <c r="R16" t="s">
        <v>4</v>
      </c>
      <c r="X16" t="s">
        <v>145</v>
      </c>
      <c r="AA16" t="str" cm="1">
        <f t="array" ref="AA16:AA19">IF($AC$83&lt;130,IF('LOCK-T'!H45=3,Screws!V13:V14,Screws!$V$6:$V$9),IF('LOCK-T'!H45=3,Screws!X13:X16,Screws!$X$6:$X$11))</f>
        <v>LBS Ø 5 x 25</v>
      </c>
      <c r="AG16" t="str">
        <f t="shared" si="4"/>
        <v>KKF Ø 5 x 60</v>
      </c>
      <c r="AH16" s="2">
        <f t="shared" si="5"/>
        <v>5</v>
      </c>
      <c r="AI16" s="2">
        <f t="shared" si="15"/>
        <v>3.25</v>
      </c>
      <c r="AJ16" s="2">
        <f t="shared" si="16"/>
        <v>9.65</v>
      </c>
      <c r="AK16" s="2">
        <f t="shared" si="8"/>
        <v>60</v>
      </c>
      <c r="AL16" s="2">
        <f t="shared" si="9"/>
        <v>35</v>
      </c>
      <c r="AM16" s="2">
        <v>11.7</v>
      </c>
      <c r="AN16" s="2">
        <v>350</v>
      </c>
      <c r="AO16" s="2">
        <f t="shared" si="17"/>
        <v>7.9</v>
      </c>
      <c r="AP16" s="2">
        <f t="shared" si="18"/>
        <v>4.5</v>
      </c>
      <c r="AS16" s="14" t="s">
        <v>30</v>
      </c>
      <c r="AT16">
        <v>200</v>
      </c>
    </row>
    <row r="17" spans="2:46" ht="24.95" customHeight="1" thickBot="1" x14ac:dyDescent="0.25">
      <c r="B17" s="14" t="s">
        <v>31</v>
      </c>
      <c r="C17" s="24" t="str">
        <f t="shared" si="0"/>
        <v>KKF Ø 5 x 70</v>
      </c>
      <c r="D17" s="5" t="s">
        <v>28</v>
      </c>
      <c r="E17" s="6">
        <v>5</v>
      </c>
      <c r="F17" s="6" t="s">
        <v>19</v>
      </c>
      <c r="G17" s="6">
        <v>70</v>
      </c>
      <c r="H17" s="4">
        <v>40</v>
      </c>
      <c r="I17" s="21">
        <f t="shared" si="12"/>
        <v>5417.2</v>
      </c>
      <c r="J17" s="61">
        <f t="shared" si="12"/>
        <v>7900</v>
      </c>
      <c r="K17" s="85" t="s">
        <v>31</v>
      </c>
      <c r="O17" t="str">
        <f t="shared" si="14"/>
        <v>KKF Ø 5 x 100</v>
      </c>
      <c r="AA17" t="str">
        <v>LBS Ø 5 x 40</v>
      </c>
      <c r="AG17" t="str">
        <f t="shared" si="4"/>
        <v>KKF Ø 5 x 70</v>
      </c>
      <c r="AH17" s="2">
        <f t="shared" si="5"/>
        <v>5</v>
      </c>
      <c r="AI17" s="2">
        <f t="shared" si="15"/>
        <v>3.25</v>
      </c>
      <c r="AJ17" s="2">
        <f t="shared" si="16"/>
        <v>9.65</v>
      </c>
      <c r="AK17" s="2">
        <f t="shared" si="8"/>
        <v>70</v>
      </c>
      <c r="AL17" s="2">
        <f t="shared" si="9"/>
        <v>40</v>
      </c>
      <c r="AM17" s="2">
        <v>11.7</v>
      </c>
      <c r="AN17" s="2">
        <v>350</v>
      </c>
      <c r="AO17" s="2">
        <f t="shared" si="17"/>
        <v>7.9</v>
      </c>
      <c r="AP17" s="2">
        <f t="shared" si="18"/>
        <v>4.5</v>
      </c>
      <c r="AS17" s="14" t="s">
        <v>31</v>
      </c>
      <c r="AT17">
        <v>100</v>
      </c>
    </row>
    <row r="18" spans="2:46" ht="24.95" customHeight="1" thickBot="1" x14ac:dyDescent="0.25">
      <c r="B18" s="14" t="s">
        <v>32</v>
      </c>
      <c r="C18" s="24" t="str">
        <f t="shared" si="0"/>
        <v>KKF Ø 5 x 80</v>
      </c>
      <c r="D18" s="8" t="s">
        <v>28</v>
      </c>
      <c r="E18" s="9">
        <v>5</v>
      </c>
      <c r="F18" s="9" t="s">
        <v>19</v>
      </c>
      <c r="G18" s="9">
        <v>80</v>
      </c>
      <c r="H18" s="4">
        <v>50</v>
      </c>
      <c r="I18" s="21">
        <f t="shared" si="12"/>
        <v>5417.2</v>
      </c>
      <c r="J18" s="61">
        <f t="shared" si="12"/>
        <v>7900</v>
      </c>
      <c r="K18" s="85" t="s">
        <v>32</v>
      </c>
      <c r="O18" s="254" t="str">
        <f>C24</f>
        <v>HBS PLATE EVO Ø 5 x 50</v>
      </c>
      <c r="AA18" t="str">
        <v>LBS Ø 5 x 50</v>
      </c>
      <c r="AG18" t="str">
        <f t="shared" si="4"/>
        <v>KKF Ø 5 x 80</v>
      </c>
      <c r="AH18" s="2">
        <f t="shared" si="5"/>
        <v>5</v>
      </c>
      <c r="AI18" s="2">
        <f t="shared" si="15"/>
        <v>3.25</v>
      </c>
      <c r="AJ18" s="2">
        <f t="shared" si="16"/>
        <v>9.65</v>
      </c>
      <c r="AK18" s="2">
        <f t="shared" si="8"/>
        <v>80</v>
      </c>
      <c r="AL18" s="2">
        <f t="shared" si="9"/>
        <v>50</v>
      </c>
      <c r="AM18" s="2">
        <v>11.7</v>
      </c>
      <c r="AN18" s="2">
        <v>350</v>
      </c>
      <c r="AO18" s="2">
        <f t="shared" si="17"/>
        <v>7.9</v>
      </c>
      <c r="AP18" s="2">
        <f t="shared" si="18"/>
        <v>4.5</v>
      </c>
      <c r="AS18" s="14" t="s">
        <v>32</v>
      </c>
      <c r="AT18">
        <v>100</v>
      </c>
    </row>
    <row r="19" spans="2:46" ht="24.95" customHeight="1" x14ac:dyDescent="0.2">
      <c r="B19" s="14" t="s">
        <v>33</v>
      </c>
      <c r="C19" s="24" t="str">
        <f t="shared" si="0"/>
        <v>KKF Ø 5 x 90</v>
      </c>
      <c r="D19" s="5" t="s">
        <v>28</v>
      </c>
      <c r="E19" s="6">
        <v>5</v>
      </c>
      <c r="F19" s="6" t="s">
        <v>19</v>
      </c>
      <c r="G19" s="6">
        <v>90</v>
      </c>
      <c r="H19" s="4">
        <v>55</v>
      </c>
      <c r="I19" s="21">
        <f t="shared" si="12"/>
        <v>5417.2</v>
      </c>
      <c r="J19" s="61">
        <f t="shared" si="12"/>
        <v>7900</v>
      </c>
      <c r="K19" s="85" t="s">
        <v>33</v>
      </c>
      <c r="O19" t="str">
        <f>C25</f>
        <v>HBS PLATE EVO Ø 5 x 60</v>
      </c>
      <c r="AA19" t="str">
        <v>NO</v>
      </c>
      <c r="AG19" t="str">
        <f t="shared" si="4"/>
        <v>KKF Ø 5 x 90</v>
      </c>
      <c r="AH19" s="2">
        <f t="shared" si="5"/>
        <v>5</v>
      </c>
      <c r="AI19" s="2">
        <f t="shared" si="15"/>
        <v>3.25</v>
      </c>
      <c r="AJ19" s="2">
        <f t="shared" si="16"/>
        <v>9.65</v>
      </c>
      <c r="AK19" s="2">
        <f t="shared" si="8"/>
        <v>90</v>
      </c>
      <c r="AL19" s="2">
        <f t="shared" si="9"/>
        <v>55</v>
      </c>
      <c r="AM19" s="2">
        <v>11.7</v>
      </c>
      <c r="AN19" s="2">
        <v>350</v>
      </c>
      <c r="AO19" s="2">
        <f t="shared" si="17"/>
        <v>7.9</v>
      </c>
      <c r="AP19" s="2">
        <f t="shared" si="18"/>
        <v>4.5</v>
      </c>
      <c r="AS19" s="14" t="s">
        <v>33</v>
      </c>
      <c r="AT19">
        <v>100</v>
      </c>
    </row>
    <row r="20" spans="2:46" ht="24.95" customHeight="1" thickBot="1" x14ac:dyDescent="0.25">
      <c r="B20" s="15" t="s">
        <v>34</v>
      </c>
      <c r="C20" s="25" t="str">
        <f t="shared" si="0"/>
        <v>KKF Ø 5 x 100</v>
      </c>
      <c r="D20" s="17" t="s">
        <v>28</v>
      </c>
      <c r="E20" s="18">
        <v>5</v>
      </c>
      <c r="F20" s="18" t="s">
        <v>19</v>
      </c>
      <c r="G20" s="18">
        <v>100</v>
      </c>
      <c r="H20" s="16">
        <v>60</v>
      </c>
      <c r="I20" s="16">
        <f t="shared" si="12"/>
        <v>5417.2</v>
      </c>
      <c r="J20" s="57">
        <f t="shared" si="12"/>
        <v>7900</v>
      </c>
      <c r="K20" s="85" t="s">
        <v>34</v>
      </c>
      <c r="O20" t="str">
        <f>C26</f>
        <v>HBS PLATE EVO Ø 5 x 70</v>
      </c>
      <c r="AG20" s="217" t="str">
        <f t="shared" si="4"/>
        <v>KKF Ø 5 x 100</v>
      </c>
      <c r="AH20" s="218">
        <f t="shared" si="5"/>
        <v>5</v>
      </c>
      <c r="AI20" s="218">
        <f t="shared" si="15"/>
        <v>3.25</v>
      </c>
      <c r="AJ20" s="218">
        <f t="shared" si="16"/>
        <v>9.65</v>
      </c>
      <c r="AK20" s="218">
        <f t="shared" si="8"/>
        <v>100</v>
      </c>
      <c r="AL20" s="218">
        <f t="shared" si="9"/>
        <v>60</v>
      </c>
      <c r="AM20" s="218">
        <v>11.7</v>
      </c>
      <c r="AN20" s="218">
        <v>350</v>
      </c>
      <c r="AO20" s="218">
        <f t="shared" si="17"/>
        <v>7.9</v>
      </c>
      <c r="AP20" s="218">
        <f t="shared" si="18"/>
        <v>4.5</v>
      </c>
      <c r="AS20" s="15" t="s">
        <v>34</v>
      </c>
      <c r="AT20">
        <v>100</v>
      </c>
    </row>
    <row r="21" spans="2:46" ht="24.95" customHeight="1" thickBot="1" x14ac:dyDescent="0.25">
      <c r="B21" s="10" t="s">
        <v>35</v>
      </c>
      <c r="C21" s="26" t="str">
        <f t="shared" si="0"/>
        <v>KKF Ø 6 x 80</v>
      </c>
      <c r="D21" s="12" t="s">
        <v>28</v>
      </c>
      <c r="E21" s="13">
        <v>6</v>
      </c>
      <c r="F21" s="13" t="s">
        <v>19</v>
      </c>
      <c r="G21" s="13">
        <v>80</v>
      </c>
      <c r="H21" s="11">
        <v>50</v>
      </c>
      <c r="I21" s="11">
        <v>9493.7000000000007</v>
      </c>
      <c r="J21" s="55">
        <v>11300</v>
      </c>
      <c r="K21" s="85" t="s">
        <v>35</v>
      </c>
      <c r="O21" t="str">
        <f>C27</f>
        <v>HBS PLATE EVO Ø 5 x 80</v>
      </c>
      <c r="AG21" t="str">
        <f t="shared" si="4"/>
        <v>KKF Ø 6 x 80</v>
      </c>
      <c r="AH21" s="2">
        <f t="shared" si="5"/>
        <v>6</v>
      </c>
      <c r="AI21" s="2">
        <f t="shared" si="15"/>
        <v>4.05</v>
      </c>
      <c r="AJ21" s="2">
        <f t="shared" si="16"/>
        <v>11.65</v>
      </c>
      <c r="AK21" s="2">
        <f t="shared" si="8"/>
        <v>80</v>
      </c>
      <c r="AL21" s="2">
        <f t="shared" si="9"/>
        <v>50</v>
      </c>
      <c r="AM21" s="2">
        <v>11.7</v>
      </c>
      <c r="AN21" s="2">
        <v>350</v>
      </c>
      <c r="AO21" s="2">
        <f t="shared" si="17"/>
        <v>11.3</v>
      </c>
      <c r="AP21" s="2">
        <f t="shared" si="18"/>
        <v>8.1999999999999993</v>
      </c>
      <c r="AS21" s="10" t="s">
        <v>35</v>
      </c>
      <c r="AT21">
        <v>100</v>
      </c>
    </row>
    <row r="22" spans="2:46" ht="24.95" customHeight="1" thickBot="1" x14ac:dyDescent="0.25">
      <c r="B22" s="14" t="s">
        <v>36</v>
      </c>
      <c r="C22" s="24" t="str">
        <f t="shared" si="0"/>
        <v>KKF Ø 6 x 100</v>
      </c>
      <c r="D22" s="5" t="s">
        <v>28</v>
      </c>
      <c r="E22" s="6">
        <v>6</v>
      </c>
      <c r="F22" s="6" t="s">
        <v>19</v>
      </c>
      <c r="G22" s="6">
        <v>100</v>
      </c>
      <c r="H22" s="4">
        <v>60</v>
      </c>
      <c r="I22" s="4">
        <f t="shared" si="12"/>
        <v>9493.7000000000007</v>
      </c>
      <c r="J22" s="56">
        <f t="shared" si="12"/>
        <v>11300</v>
      </c>
      <c r="K22" s="85" t="s">
        <v>36</v>
      </c>
      <c r="O22" s="254" t="s">
        <v>1270</v>
      </c>
      <c r="AG22" t="str">
        <f t="shared" si="4"/>
        <v>KKF Ø 6 x 100</v>
      </c>
      <c r="AH22" s="2">
        <f t="shared" si="5"/>
        <v>6</v>
      </c>
      <c r="AI22" s="2">
        <f t="shared" si="15"/>
        <v>4.05</v>
      </c>
      <c r="AJ22" s="2">
        <f t="shared" si="16"/>
        <v>11.65</v>
      </c>
      <c r="AK22" s="2">
        <f t="shared" si="8"/>
        <v>100</v>
      </c>
      <c r="AL22" s="2">
        <f t="shared" si="9"/>
        <v>60</v>
      </c>
      <c r="AM22" s="2">
        <v>11.7</v>
      </c>
      <c r="AN22" s="2">
        <v>350</v>
      </c>
      <c r="AO22" s="2">
        <f t="shared" si="17"/>
        <v>11.3</v>
      </c>
      <c r="AP22" s="2">
        <f t="shared" si="18"/>
        <v>8.1999999999999993</v>
      </c>
      <c r="AS22" s="14" t="s">
        <v>36</v>
      </c>
      <c r="AT22">
        <v>100</v>
      </c>
    </row>
    <row r="23" spans="2:46" ht="24.95" customHeight="1" thickBot="1" x14ac:dyDescent="0.25">
      <c r="B23" s="15" t="s">
        <v>37</v>
      </c>
      <c r="C23" s="25" t="str">
        <f t="shared" si="0"/>
        <v>KKF Ø 6 x 120</v>
      </c>
      <c r="D23" s="17" t="s">
        <v>28</v>
      </c>
      <c r="E23" s="18">
        <v>6</v>
      </c>
      <c r="F23" s="18" t="s">
        <v>19</v>
      </c>
      <c r="G23" s="18">
        <v>120</v>
      </c>
      <c r="H23" s="16">
        <v>75</v>
      </c>
      <c r="I23" s="16">
        <f t="shared" si="12"/>
        <v>9493.7000000000007</v>
      </c>
      <c r="J23" s="57">
        <f t="shared" si="12"/>
        <v>11300</v>
      </c>
      <c r="K23" s="85" t="s">
        <v>37</v>
      </c>
      <c r="O23" t="s">
        <v>1271</v>
      </c>
      <c r="AG23" s="217" t="str">
        <f t="shared" si="4"/>
        <v>KKF Ø 6 x 120</v>
      </c>
      <c r="AH23" s="218">
        <f t="shared" si="5"/>
        <v>6</v>
      </c>
      <c r="AI23" s="218">
        <f t="shared" si="15"/>
        <v>4.05</v>
      </c>
      <c r="AJ23" s="218">
        <f t="shared" si="16"/>
        <v>11.65</v>
      </c>
      <c r="AK23" s="218">
        <f t="shared" si="8"/>
        <v>120</v>
      </c>
      <c r="AL23" s="218">
        <f t="shared" si="9"/>
        <v>75</v>
      </c>
      <c r="AM23" s="218">
        <v>11.7</v>
      </c>
      <c r="AN23" s="218">
        <v>350</v>
      </c>
      <c r="AO23" s="218">
        <f t="shared" si="17"/>
        <v>11.3</v>
      </c>
      <c r="AP23" s="218">
        <f t="shared" si="18"/>
        <v>8.1999999999999993</v>
      </c>
      <c r="AS23" s="15" t="s">
        <v>37</v>
      </c>
      <c r="AT23">
        <v>100</v>
      </c>
    </row>
    <row r="24" spans="2:46" ht="24.95" customHeight="1" x14ac:dyDescent="0.2">
      <c r="B24" s="10" t="s">
        <v>38</v>
      </c>
      <c r="C24" s="26" t="str">
        <f t="shared" ref="C24:C27" si="19">D24&amp;" Ø "&amp;E24&amp;" x "&amp;G24</f>
        <v>HBS PLATE EVO Ø 5 x 50</v>
      </c>
      <c r="D24" s="12" t="s">
        <v>39</v>
      </c>
      <c r="E24" s="13">
        <v>5</v>
      </c>
      <c r="F24" s="13" t="s">
        <v>19</v>
      </c>
      <c r="G24" s="13">
        <v>50</v>
      </c>
      <c r="H24" s="11">
        <v>30</v>
      </c>
      <c r="I24" s="11">
        <v>5417.2</v>
      </c>
      <c r="J24" s="55">
        <v>7900</v>
      </c>
      <c r="K24" t="s">
        <v>38</v>
      </c>
      <c r="O24" t="s">
        <v>1272</v>
      </c>
      <c r="AG24" t="str">
        <f t="shared" si="4"/>
        <v>HBS PLATE EVO Ø 5 x 50</v>
      </c>
      <c r="AH24" s="2">
        <f t="shared" si="5"/>
        <v>5</v>
      </c>
      <c r="AI24" s="2">
        <f>IF(AH24=5,3.4,3.95)</f>
        <v>3.4</v>
      </c>
      <c r="AJ24" s="2">
        <f>IF(AH24=5,9.65,12)</f>
        <v>9.65</v>
      </c>
      <c r="AK24" s="2">
        <f t="shared" si="8"/>
        <v>50</v>
      </c>
      <c r="AL24" s="2">
        <f t="shared" si="9"/>
        <v>30</v>
      </c>
      <c r="AM24" s="2">
        <v>11.7</v>
      </c>
      <c r="AN24" s="2">
        <v>350</v>
      </c>
      <c r="AO24" s="2">
        <f t="shared" si="17"/>
        <v>7.9</v>
      </c>
      <c r="AP24" s="2">
        <f>IF(AH24=5,5.4,9.5)</f>
        <v>5.4</v>
      </c>
      <c r="AS24" s="10" t="s">
        <v>38</v>
      </c>
      <c r="AT24">
        <v>200</v>
      </c>
    </row>
    <row r="25" spans="2:46" ht="24.95" customHeight="1" thickBot="1" x14ac:dyDescent="0.25">
      <c r="B25" s="14" t="s">
        <v>40</v>
      </c>
      <c r="C25" s="24" t="str">
        <f t="shared" si="19"/>
        <v>HBS PLATE EVO Ø 5 x 60</v>
      </c>
      <c r="D25" s="5" t="s">
        <v>39</v>
      </c>
      <c r="E25" s="6">
        <v>5</v>
      </c>
      <c r="F25" s="6" t="s">
        <v>19</v>
      </c>
      <c r="G25" s="6">
        <v>60</v>
      </c>
      <c r="H25" s="4">
        <v>35</v>
      </c>
      <c r="I25" s="4">
        <f>I24</f>
        <v>5417.2</v>
      </c>
      <c r="J25" s="56">
        <f>J24</f>
        <v>7900</v>
      </c>
      <c r="K25" t="s">
        <v>40</v>
      </c>
      <c r="O25" t="s">
        <v>4</v>
      </c>
      <c r="AG25" t="str">
        <f t="shared" si="4"/>
        <v>HBS PLATE EVO Ø 5 x 60</v>
      </c>
      <c r="AH25" s="2">
        <f t="shared" si="5"/>
        <v>5</v>
      </c>
      <c r="AI25" s="2">
        <f t="shared" ref="AI25:AI29" si="20">IF(AH25=5,3.4,3.95)</f>
        <v>3.4</v>
      </c>
      <c r="AJ25" s="2">
        <f t="shared" ref="AJ25:AJ29" si="21">IF(AH25=5,9.65,12)</f>
        <v>9.65</v>
      </c>
      <c r="AK25" s="2">
        <f t="shared" si="8"/>
        <v>60</v>
      </c>
      <c r="AL25" s="2">
        <f t="shared" si="9"/>
        <v>35</v>
      </c>
      <c r="AM25" s="2">
        <v>11.7</v>
      </c>
      <c r="AN25" s="2">
        <v>350</v>
      </c>
      <c r="AO25" s="2">
        <f t="shared" si="17"/>
        <v>7.9</v>
      </c>
      <c r="AP25" s="2">
        <f t="shared" ref="AP25:AP29" si="22">IF(AH25=5,5.4,9.5)</f>
        <v>5.4</v>
      </c>
      <c r="AS25" s="14" t="s">
        <v>40</v>
      </c>
      <c r="AT25">
        <v>200</v>
      </c>
    </row>
    <row r="26" spans="2:46" ht="24.95" customHeight="1" thickBot="1" x14ac:dyDescent="0.25">
      <c r="B26" s="14" t="s">
        <v>41</v>
      </c>
      <c r="C26" s="24" t="str">
        <f t="shared" si="19"/>
        <v>HBS PLATE EVO Ø 5 x 70</v>
      </c>
      <c r="D26" s="5" t="s">
        <v>39</v>
      </c>
      <c r="E26" s="6">
        <v>5</v>
      </c>
      <c r="F26" s="6" t="s">
        <v>19</v>
      </c>
      <c r="G26" s="6">
        <v>70</v>
      </c>
      <c r="H26" s="4">
        <v>40</v>
      </c>
      <c r="I26" s="4">
        <f t="shared" ref="I26:I27" si="23">I25</f>
        <v>5417.2</v>
      </c>
      <c r="J26" s="56">
        <f t="shared" ref="J26:J27" si="24">J25</f>
        <v>7900</v>
      </c>
      <c r="K26" t="s">
        <v>41</v>
      </c>
      <c r="N26" s="245"/>
      <c r="O26" s="246"/>
      <c r="P26" s="246"/>
      <c r="Q26" s="246"/>
      <c r="R26" s="246"/>
      <c r="S26" s="246"/>
      <c r="T26" s="246"/>
      <c r="U26" s="246"/>
      <c r="V26" s="246"/>
      <c r="W26" s="246"/>
      <c r="X26" s="247"/>
      <c r="AG26" t="str">
        <f t="shared" si="4"/>
        <v>HBS PLATE EVO Ø 5 x 70</v>
      </c>
      <c r="AH26" s="2">
        <f t="shared" si="5"/>
        <v>5</v>
      </c>
      <c r="AI26" s="2">
        <f t="shared" si="20"/>
        <v>3.4</v>
      </c>
      <c r="AJ26" s="2">
        <f t="shared" si="21"/>
        <v>9.65</v>
      </c>
      <c r="AK26" s="2">
        <f t="shared" si="8"/>
        <v>70</v>
      </c>
      <c r="AL26" s="2">
        <f t="shared" si="9"/>
        <v>40</v>
      </c>
      <c r="AM26" s="2">
        <v>11.7</v>
      </c>
      <c r="AN26" s="2">
        <v>350</v>
      </c>
      <c r="AO26" s="2">
        <f t="shared" si="17"/>
        <v>7.9</v>
      </c>
      <c r="AP26" s="2">
        <f t="shared" si="22"/>
        <v>5.4</v>
      </c>
      <c r="AS26" s="14" t="s">
        <v>41</v>
      </c>
      <c r="AT26">
        <v>100</v>
      </c>
    </row>
    <row r="27" spans="2:46" ht="24.95" customHeight="1" thickBot="1" x14ac:dyDescent="0.25">
      <c r="B27" s="15" t="s">
        <v>42</v>
      </c>
      <c r="C27" s="25" t="str">
        <f t="shared" si="19"/>
        <v>HBS PLATE EVO Ø 5 x 80</v>
      </c>
      <c r="D27" s="17" t="s">
        <v>39</v>
      </c>
      <c r="E27" s="18">
        <v>5</v>
      </c>
      <c r="F27" s="18" t="s">
        <v>19</v>
      </c>
      <c r="G27" s="18">
        <v>80</v>
      </c>
      <c r="H27" s="16">
        <v>50</v>
      </c>
      <c r="I27" s="16">
        <f t="shared" si="23"/>
        <v>5417.2</v>
      </c>
      <c r="J27" s="57">
        <f t="shared" si="24"/>
        <v>7900</v>
      </c>
      <c r="K27" s="85" t="s">
        <v>42</v>
      </c>
      <c r="N27" s="248"/>
      <c r="O27" s="254" t="str">
        <f>VLOOKUP('LOCK-T'!H111,Screws!C6:D34,2,FALSE)</f>
        <v>LBS</v>
      </c>
      <c r="V27" t="s">
        <v>381</v>
      </c>
      <c r="X27" s="249"/>
      <c r="AG27" s="217" t="str">
        <f t="shared" si="4"/>
        <v>HBS PLATE EVO Ø 5 x 80</v>
      </c>
      <c r="AH27" s="218">
        <f t="shared" si="5"/>
        <v>5</v>
      </c>
      <c r="AI27" s="218">
        <f t="shared" si="20"/>
        <v>3.4</v>
      </c>
      <c r="AJ27" s="218">
        <f t="shared" si="21"/>
        <v>9.65</v>
      </c>
      <c r="AK27" s="218">
        <f t="shared" si="8"/>
        <v>80</v>
      </c>
      <c r="AL27" s="218">
        <f t="shared" si="9"/>
        <v>50</v>
      </c>
      <c r="AM27" s="218">
        <v>11.7</v>
      </c>
      <c r="AN27" s="218">
        <v>350</v>
      </c>
      <c r="AO27" s="218">
        <f t="shared" si="17"/>
        <v>7.9</v>
      </c>
      <c r="AP27" s="218">
        <f t="shared" si="22"/>
        <v>5.4</v>
      </c>
      <c r="AS27" s="15" t="s">
        <v>42</v>
      </c>
      <c r="AT27">
        <v>100</v>
      </c>
    </row>
    <row r="28" spans="2:46" ht="24.95" customHeight="1" x14ac:dyDescent="0.2">
      <c r="B28" s="14" t="s">
        <v>43</v>
      </c>
      <c r="C28" s="24" t="str">
        <f t="shared" ref="C28:C34" si="25">D28&amp;" Ø "&amp;E28&amp;" x "&amp;G28</f>
        <v>HBS PLATE EVO Ø 6 x 80</v>
      </c>
      <c r="D28" s="5" t="s">
        <v>39</v>
      </c>
      <c r="E28" s="6">
        <v>6</v>
      </c>
      <c r="F28" s="6" t="s">
        <v>19</v>
      </c>
      <c r="G28" s="6">
        <v>80</v>
      </c>
      <c r="H28" s="4">
        <v>50</v>
      </c>
      <c r="I28" s="4">
        <v>9493.7000000000007</v>
      </c>
      <c r="J28" s="56">
        <v>11300</v>
      </c>
      <c r="K28" s="85" t="s">
        <v>43</v>
      </c>
      <c r="N28" s="248"/>
      <c r="O28" t="str">
        <f>IF($O$27="LBS",O6,IF($O$27="KKF",O11,IF($O$27="HBS PLATE EVO",O18,IF($O$27="LBS EVO",O22," "))))</f>
        <v>LBS Ø 5 x 25</v>
      </c>
      <c r="R28" t="str">
        <f>IF($O$27="LBS",R6,IF($O$27="KKF",R9,IF($O$27="HBS PLATE EVO",R12,IF($O$27="LBS EVO",R14," "))))</f>
        <v>LBS Ø 7 x 60</v>
      </c>
      <c r="V28" t="str">
        <f>IF('LOCK-T'!$H$114&lt;6,Screws!O28,Screws!R28)</f>
        <v>LBS Ø 7 x 60</v>
      </c>
      <c r="X28" s="249"/>
      <c r="AG28" t="str">
        <f t="shared" si="4"/>
        <v>HBS PLATE EVO Ø 6 x 80</v>
      </c>
      <c r="AH28" s="2">
        <f t="shared" si="5"/>
        <v>6</v>
      </c>
      <c r="AI28" s="2">
        <f t="shared" si="20"/>
        <v>3.95</v>
      </c>
      <c r="AJ28" s="2">
        <f t="shared" si="21"/>
        <v>12</v>
      </c>
      <c r="AK28" s="2">
        <f t="shared" si="8"/>
        <v>80</v>
      </c>
      <c r="AL28" s="2">
        <f t="shared" si="9"/>
        <v>50</v>
      </c>
      <c r="AM28" s="2">
        <v>11.7</v>
      </c>
      <c r="AN28" s="2">
        <v>350</v>
      </c>
      <c r="AO28" s="2">
        <f t="shared" si="17"/>
        <v>11.3</v>
      </c>
      <c r="AP28" s="2">
        <f t="shared" si="22"/>
        <v>9.5</v>
      </c>
      <c r="AS28" s="14" t="s">
        <v>43</v>
      </c>
      <c r="AT28">
        <v>100</v>
      </c>
    </row>
    <row r="29" spans="2:46" ht="24.95" customHeight="1" thickBot="1" x14ac:dyDescent="0.25">
      <c r="B29" s="15" t="s">
        <v>44</v>
      </c>
      <c r="C29" s="25" t="str">
        <f t="shared" si="25"/>
        <v>HBS PLATE EVO Ø 6 x 90</v>
      </c>
      <c r="D29" s="17" t="s">
        <v>39</v>
      </c>
      <c r="E29" s="18">
        <v>6</v>
      </c>
      <c r="F29" s="18" t="s">
        <v>19</v>
      </c>
      <c r="G29" s="18">
        <v>90</v>
      </c>
      <c r="H29" s="16">
        <v>55</v>
      </c>
      <c r="I29" s="16">
        <f>I28</f>
        <v>9493.7000000000007</v>
      </c>
      <c r="J29" s="57">
        <f>J28</f>
        <v>11300</v>
      </c>
      <c r="K29" s="85" t="s">
        <v>44</v>
      </c>
      <c r="N29" s="248"/>
      <c r="O29" t="str">
        <f>IF(O27="LBS",O7,IF(O27="KKF",O12,IF(O27="HBS PLATE EVO",O19,IF($O$27="LBS EVO",O23," "))))</f>
        <v>LBS Ø 5 x 40</v>
      </c>
      <c r="R29" t="str">
        <f>IF($O$27="LBS",R7,IF($O$27="KKF",R10,IF($O$27="HBS PLATE EVO",R13,IF($O$27="LBS EVO",R15," "))))</f>
        <v>LBS Ø 7 x 80</v>
      </c>
      <c r="V29" t="str">
        <f>IF('LOCK-T'!$H$114&lt;6,Screws!O29,Screws!R29)</f>
        <v>LBS Ø 7 x 80</v>
      </c>
      <c r="X29" s="249"/>
      <c r="AG29" t="str">
        <f t="shared" si="4"/>
        <v>HBS PLATE EVO Ø 6 x 90</v>
      </c>
      <c r="AH29" s="2">
        <f t="shared" si="5"/>
        <v>6</v>
      </c>
      <c r="AI29" s="2">
        <f t="shared" si="20"/>
        <v>3.95</v>
      </c>
      <c r="AJ29" s="2">
        <f t="shared" si="21"/>
        <v>12</v>
      </c>
      <c r="AK29" s="2">
        <f t="shared" si="8"/>
        <v>90</v>
      </c>
      <c r="AL29" s="2">
        <f t="shared" si="9"/>
        <v>55</v>
      </c>
      <c r="AM29" s="2">
        <v>11.7</v>
      </c>
      <c r="AN29" s="2">
        <v>350</v>
      </c>
      <c r="AO29" s="2">
        <f t="shared" si="17"/>
        <v>11.3</v>
      </c>
      <c r="AP29" s="2">
        <f t="shared" si="22"/>
        <v>9.5</v>
      </c>
      <c r="AS29" s="15" t="s">
        <v>44</v>
      </c>
      <c r="AT29">
        <v>100</v>
      </c>
    </row>
    <row r="30" spans="2:46" ht="24.95" customHeight="1" x14ac:dyDescent="0.2">
      <c r="B30" s="10" t="s">
        <v>1265</v>
      </c>
      <c r="C30" s="26" t="str">
        <f t="shared" si="25"/>
        <v>LBS EVO Ø 5 x 50</v>
      </c>
      <c r="D30" s="12" t="s">
        <v>1264</v>
      </c>
      <c r="E30" s="13">
        <v>5</v>
      </c>
      <c r="F30" s="13" t="s">
        <v>19</v>
      </c>
      <c r="G30" s="13">
        <v>50</v>
      </c>
      <c r="H30" s="11">
        <v>46</v>
      </c>
      <c r="I30" s="11">
        <v>5417.2</v>
      </c>
      <c r="J30" s="55">
        <v>7900</v>
      </c>
      <c r="K30" s="85" t="s">
        <v>1265</v>
      </c>
      <c r="N30" s="248"/>
      <c r="O30" t="str">
        <f>IF(O27="LBS",O8,IF(O27="KKF",O13,IF(O27="HBS PLATE EVO",O20,IF($O$27="LBS EVO",O24," "))))</f>
        <v>LBS Ø 5 x 50</v>
      </c>
      <c r="R30" t="str">
        <f>IF($O$27="LBS",R8,IF($O$27="KKF",R11,IF($O$27="HBS PLATE EVO",R16,IF($O$27="LBS EVO",R16," "))))</f>
        <v>LBS Ø 7 x 100</v>
      </c>
      <c r="V30" t="str">
        <f>IF('LOCK-T'!$H$114&lt;6,Screws!O30,Screws!R30)</f>
        <v>LBS Ø 7 x 100</v>
      </c>
      <c r="X30" s="249"/>
      <c r="AG30" t="s">
        <v>1270</v>
      </c>
      <c r="AH30" s="2">
        <v>5</v>
      </c>
      <c r="AI30" s="2">
        <v>3</v>
      </c>
      <c r="AJ30" s="2">
        <v>7.8</v>
      </c>
      <c r="AK30" s="2">
        <v>50</v>
      </c>
      <c r="AL30" s="2">
        <v>46</v>
      </c>
      <c r="AM30" s="2">
        <v>11.7</v>
      </c>
      <c r="AN30" s="2">
        <v>350</v>
      </c>
      <c r="AO30" s="2">
        <v>7.9</v>
      </c>
      <c r="AP30" s="2">
        <v>5.4</v>
      </c>
      <c r="AS30" s="14" t="s">
        <v>1265</v>
      </c>
      <c r="AT30">
        <v>200</v>
      </c>
    </row>
    <row r="31" spans="2:46" ht="24.95" customHeight="1" x14ac:dyDescent="0.2">
      <c r="B31" s="14" t="s">
        <v>1266</v>
      </c>
      <c r="C31" s="24" t="str">
        <f t="shared" si="25"/>
        <v>LBS EVO Ø 5 x 60</v>
      </c>
      <c r="D31" s="5" t="s">
        <v>1264</v>
      </c>
      <c r="E31" s="6">
        <v>5</v>
      </c>
      <c r="F31" s="6" t="s">
        <v>19</v>
      </c>
      <c r="G31" s="6">
        <v>60</v>
      </c>
      <c r="H31" s="4">
        <v>56</v>
      </c>
      <c r="I31" s="4">
        <f>I30</f>
        <v>5417.2</v>
      </c>
      <c r="J31" s="56">
        <f>J30</f>
        <v>7900</v>
      </c>
      <c r="K31" s="85" t="s">
        <v>1266</v>
      </c>
      <c r="N31" s="248"/>
      <c r="O31" t="str">
        <f>IF(O27="LBS",O9,IF(O27="KKF",O14,IF(O27="HBS PLATE EVO",O21,IF($O$27="LBS EVO",O25," "))))</f>
        <v>LBS Ø 5 x 60</v>
      </c>
      <c r="R31" t="s">
        <v>4</v>
      </c>
      <c r="V31" t="str">
        <f>IF('LOCK-T'!$H$114&lt;6,Screws!O31,Screws!R31)</f>
        <v>-</v>
      </c>
      <c r="X31" s="249"/>
      <c r="AG31" t="s">
        <v>1271</v>
      </c>
      <c r="AH31" s="2">
        <v>5</v>
      </c>
      <c r="AI31" s="2">
        <v>3</v>
      </c>
      <c r="AJ31" s="2">
        <v>7.8</v>
      </c>
      <c r="AK31" s="2">
        <v>60</v>
      </c>
      <c r="AL31" s="2">
        <v>56</v>
      </c>
      <c r="AM31" s="2">
        <v>11.7</v>
      </c>
      <c r="AN31" s="2">
        <v>350</v>
      </c>
      <c r="AO31" s="2">
        <v>7.9</v>
      </c>
      <c r="AP31" s="2">
        <v>5.4</v>
      </c>
      <c r="AS31" s="14" t="s">
        <v>1266</v>
      </c>
      <c r="AT31">
        <v>200</v>
      </c>
    </row>
    <row r="32" spans="2:46" ht="24.95" customHeight="1" thickBot="1" x14ac:dyDescent="0.25">
      <c r="B32" s="15" t="s">
        <v>1267</v>
      </c>
      <c r="C32" s="25" t="str">
        <f t="shared" si="25"/>
        <v>LBS EVO Ø 5 x 70</v>
      </c>
      <c r="D32" s="17" t="s">
        <v>1264</v>
      </c>
      <c r="E32" s="18">
        <v>5</v>
      </c>
      <c r="F32" s="18" t="s">
        <v>19</v>
      </c>
      <c r="G32" s="18">
        <v>70</v>
      </c>
      <c r="H32" s="35">
        <v>66</v>
      </c>
      <c r="I32" s="16">
        <f>I31</f>
        <v>5417.2</v>
      </c>
      <c r="J32" s="57">
        <f>J31</f>
        <v>7900</v>
      </c>
      <c r="K32" s="85" t="s">
        <v>1267</v>
      </c>
      <c r="N32" s="248"/>
      <c r="O32" t="str">
        <f>IF(O27="LBS",O10,IF(O27="KKF",O15,IF(O27="HBS PLATE EVO",O25,IF($O$27="LBS EVO",O25," "))))</f>
        <v>LBS Ø 5 x 70</v>
      </c>
      <c r="R32" t="s">
        <v>4</v>
      </c>
      <c r="V32" t="str">
        <f>IF('LOCK-T'!$H$114&lt;6,Screws!O32,Screws!R32)</f>
        <v>-</v>
      </c>
      <c r="X32" s="249"/>
      <c r="AG32" s="217" t="s">
        <v>1272</v>
      </c>
      <c r="AH32" s="218">
        <v>5</v>
      </c>
      <c r="AI32" s="218">
        <v>3</v>
      </c>
      <c r="AJ32" s="218">
        <v>7.8</v>
      </c>
      <c r="AK32" s="218">
        <v>70</v>
      </c>
      <c r="AL32" s="218">
        <v>66</v>
      </c>
      <c r="AM32" s="218">
        <v>11.7</v>
      </c>
      <c r="AN32" s="218">
        <v>350</v>
      </c>
      <c r="AO32" s="218">
        <v>7.9</v>
      </c>
      <c r="AP32" s="218">
        <v>5.4</v>
      </c>
      <c r="AS32" s="15" t="s">
        <v>1267</v>
      </c>
      <c r="AT32">
        <v>200</v>
      </c>
    </row>
    <row r="33" spans="2:46" ht="24.95" customHeight="1" x14ac:dyDescent="0.2">
      <c r="B33" s="19" t="s">
        <v>1268</v>
      </c>
      <c r="C33" s="23" t="str">
        <f t="shared" si="25"/>
        <v>LBS EVO Ø 7 x 80</v>
      </c>
      <c r="D33" s="8" t="s">
        <v>1264</v>
      </c>
      <c r="E33" s="9">
        <v>7</v>
      </c>
      <c r="F33" s="9" t="s">
        <v>19</v>
      </c>
      <c r="G33" s="9">
        <v>80</v>
      </c>
      <c r="H33" s="7">
        <v>75</v>
      </c>
      <c r="I33" s="7">
        <v>14174</v>
      </c>
      <c r="J33" s="60">
        <v>19200</v>
      </c>
      <c r="K33" s="85" t="s">
        <v>1268</v>
      </c>
      <c r="N33" s="248"/>
      <c r="O33" t="str">
        <f>IF(O27="LBS",O25,IF(O27="KKF",O16,IF(O27="HBS PLATE EVO",O25,IF($O$27="LBS EVO",O25," "))))</f>
        <v>-</v>
      </c>
      <c r="R33" t="s">
        <v>4</v>
      </c>
      <c r="V33" t="str">
        <f>IF('LOCK-T'!$H$114&lt;6,Screws!O33,Screws!R33)</f>
        <v>-</v>
      </c>
      <c r="X33" s="249"/>
      <c r="AG33" t="s">
        <v>1273</v>
      </c>
      <c r="AH33" s="2">
        <f t="shared" ref="AH33:AH34" si="26">E33</f>
        <v>7</v>
      </c>
      <c r="AI33" s="2">
        <f t="shared" ref="AI33" si="27">IF(AH33=5,3,4.4)</f>
        <v>4.4000000000000004</v>
      </c>
      <c r="AJ33" s="2">
        <f t="shared" ref="AJ33:AJ34" si="28">IF(AH33=5,7.8,11)</f>
        <v>11</v>
      </c>
      <c r="AK33" s="2">
        <f t="shared" ref="AK33:AK34" si="29">G33</f>
        <v>80</v>
      </c>
      <c r="AL33" s="2">
        <f t="shared" ref="AL33:AL34" si="30">H33</f>
        <v>75</v>
      </c>
      <c r="AM33" s="2">
        <v>11.7</v>
      </c>
      <c r="AN33" s="2">
        <v>350</v>
      </c>
      <c r="AO33" s="2">
        <f t="shared" ref="AO33:AO34" si="31">IF(AH33=5,7.9,15.4)</f>
        <v>15.4</v>
      </c>
      <c r="AP33" s="2">
        <f t="shared" ref="AP33:AP34" si="32">IF(AH33=5,5.4,14.2)</f>
        <v>14.2</v>
      </c>
      <c r="AS33" s="14" t="s">
        <v>1268</v>
      </c>
      <c r="AT33">
        <v>100</v>
      </c>
    </row>
    <row r="34" spans="2:46" ht="24.95" customHeight="1" thickBot="1" x14ac:dyDescent="0.25">
      <c r="B34" s="15" t="s">
        <v>1269</v>
      </c>
      <c r="C34" s="25" t="str">
        <f t="shared" si="25"/>
        <v>LBS EVO Ø 7 x 100</v>
      </c>
      <c r="D34" s="17" t="s">
        <v>1264</v>
      </c>
      <c r="E34" s="18">
        <v>7</v>
      </c>
      <c r="F34" s="18" t="s">
        <v>19</v>
      </c>
      <c r="G34" s="18">
        <v>100</v>
      </c>
      <c r="H34" s="16">
        <v>95</v>
      </c>
      <c r="I34" s="16">
        <f>I33</f>
        <v>14174</v>
      </c>
      <c r="J34" s="57">
        <f>J33</f>
        <v>19200</v>
      </c>
      <c r="K34" s="85" t="s">
        <v>1269</v>
      </c>
      <c r="N34" s="248"/>
      <c r="O34" t="str">
        <f>IF(O27="LBS",O25,IF(O27="KKF",O17,IF(O27="HBS PLATE EVO",O25,IF($O$27="LBS EVO",O25," "))))</f>
        <v>-</v>
      </c>
      <c r="R34" t="s">
        <v>4</v>
      </c>
      <c r="V34" t="str">
        <f>IF('LOCK-T'!$H$114&lt;6,Screws!O34,Screws!R34)</f>
        <v>-</v>
      </c>
      <c r="X34" s="249"/>
      <c r="AG34" s="217" t="s">
        <v>1274</v>
      </c>
      <c r="AH34" s="218">
        <f t="shared" si="26"/>
        <v>7</v>
      </c>
      <c r="AI34" s="218">
        <f>IF(AH34=5,3,4.4)</f>
        <v>4.4000000000000004</v>
      </c>
      <c r="AJ34" s="218">
        <f t="shared" si="28"/>
        <v>11</v>
      </c>
      <c r="AK34" s="218">
        <f t="shared" si="29"/>
        <v>100</v>
      </c>
      <c r="AL34" s="218">
        <f t="shared" si="30"/>
        <v>95</v>
      </c>
      <c r="AM34" s="218">
        <v>11.7</v>
      </c>
      <c r="AN34" s="218">
        <v>350</v>
      </c>
      <c r="AO34" s="218">
        <f t="shared" si="31"/>
        <v>15.4</v>
      </c>
      <c r="AP34" s="218">
        <f t="shared" si="32"/>
        <v>14.2</v>
      </c>
      <c r="AS34" s="20" t="s">
        <v>1269</v>
      </c>
      <c r="AT34">
        <v>100</v>
      </c>
    </row>
    <row r="35" spans="2:46" ht="24.95" hidden="1" customHeight="1" thickBot="1" x14ac:dyDescent="0.25">
      <c r="C35" t="s">
        <v>145</v>
      </c>
      <c r="K35" s="85"/>
      <c r="N35" s="250"/>
      <c r="O35" s="251"/>
      <c r="P35" s="251"/>
      <c r="Q35" s="251"/>
      <c r="R35" s="251"/>
      <c r="S35" s="251"/>
      <c r="T35" s="251"/>
      <c r="U35" s="251"/>
      <c r="V35" s="251"/>
      <c r="W35" s="251"/>
      <c r="X35" s="252"/>
    </row>
    <row r="36" spans="2:46" ht="24.95" hidden="1" customHeight="1" x14ac:dyDescent="0.2">
      <c r="K36" s="85"/>
      <c r="O36" t="str">
        <f>IF(O33="LBS",O14,IF(O33="KKF",O19,IF(O33="HBS PLATE EVO",O26," ")))</f>
        <v xml:space="preserve"> </v>
      </c>
    </row>
    <row r="37" spans="2:46" ht="24.95" hidden="1" customHeight="1" x14ac:dyDescent="0.2">
      <c r="C37" t="s">
        <v>145</v>
      </c>
      <c r="K37" s="85"/>
      <c r="O37" t="str">
        <f t="shared" ref="O37:O81" si="33">IF(O34="LBS",O15,IF(O34="KKF",O20,IF(O34="HBS PLATE EVO",O27," ")))</f>
        <v xml:space="preserve"> </v>
      </c>
    </row>
    <row r="38" spans="2:46" ht="24.95" hidden="1" customHeight="1" x14ac:dyDescent="0.2">
      <c r="K38" s="85"/>
      <c r="O38" t="str">
        <f t="shared" si="33"/>
        <v xml:space="preserve"> </v>
      </c>
    </row>
    <row r="39" spans="2:46" ht="24.95" hidden="1" customHeight="1" x14ac:dyDescent="0.2">
      <c r="K39" s="85"/>
      <c r="O39" t="str">
        <f t="shared" si="33"/>
        <v xml:space="preserve"> </v>
      </c>
    </row>
    <row r="40" spans="2:46" ht="24.95" hidden="1" customHeight="1" x14ac:dyDescent="0.2">
      <c r="K40" s="85"/>
      <c r="O40" t="str">
        <f t="shared" si="33"/>
        <v xml:space="preserve"> </v>
      </c>
    </row>
    <row r="41" spans="2:46" ht="24.95" hidden="1" customHeight="1" x14ac:dyDescent="0.2">
      <c r="K41" s="85"/>
      <c r="O41" t="str">
        <f t="shared" si="33"/>
        <v xml:space="preserve"> </v>
      </c>
    </row>
    <row r="42" spans="2:46" ht="24.95" hidden="1" customHeight="1" x14ac:dyDescent="0.2">
      <c r="K42" s="85"/>
      <c r="O42" t="str">
        <f>IF(O39="LBS",O20,IF(O39="KKF",O25,IF(O39="HBS PLATE EVO",O32," ")))</f>
        <v xml:space="preserve"> </v>
      </c>
    </row>
    <row r="43" spans="2:46" ht="24.95" hidden="1" customHeight="1" x14ac:dyDescent="0.2">
      <c r="K43" s="85"/>
      <c r="O43" t="str">
        <f>IF(O40="LBS",O21,IF(O40="KKF",O26,IF(O40="HBS PLATE EVO",O33," ")))</f>
        <v xml:space="preserve"> </v>
      </c>
    </row>
    <row r="44" spans="2:46" ht="24.95" hidden="1" customHeight="1" x14ac:dyDescent="0.2">
      <c r="K44" s="85"/>
      <c r="O44" t="str">
        <f t="shared" si="33"/>
        <v xml:space="preserve"> </v>
      </c>
    </row>
    <row r="45" spans="2:46" ht="24.95" hidden="1" customHeight="1" x14ac:dyDescent="0.2">
      <c r="K45" s="85"/>
      <c r="O45" t="str">
        <f t="shared" si="33"/>
        <v xml:space="preserve"> </v>
      </c>
    </row>
    <row r="46" spans="2:46" ht="24.95" hidden="1" customHeight="1" x14ac:dyDescent="0.2">
      <c r="K46" s="85"/>
      <c r="O46" t="str">
        <f t="shared" si="33"/>
        <v xml:space="preserve"> </v>
      </c>
    </row>
    <row r="47" spans="2:46" ht="24.95" hidden="1" customHeight="1" x14ac:dyDescent="0.2">
      <c r="K47" s="85"/>
      <c r="O47" t="str">
        <f>IF(O44="LBS",O25,IF(O44="KKF",O30,IF(O44="HBS PLATE EVO",O37," ")))</f>
        <v xml:space="preserve"> </v>
      </c>
    </row>
    <row r="48" spans="2:46" ht="24.95" hidden="1" customHeight="1" x14ac:dyDescent="0.2">
      <c r="K48" s="85"/>
      <c r="O48" t="str">
        <f>IF(O45="LBS",O26,IF(O45="KKF",O31,IF(O45="HBS PLATE EVO",O38," ")))</f>
        <v xml:space="preserve"> </v>
      </c>
    </row>
    <row r="49" spans="11:15" ht="24.95" hidden="1" customHeight="1" x14ac:dyDescent="0.2">
      <c r="K49" s="85"/>
      <c r="O49" t="str">
        <f t="shared" si="33"/>
        <v xml:space="preserve"> </v>
      </c>
    </row>
    <row r="50" spans="11:15" ht="24.95" customHeight="1" x14ac:dyDescent="0.2">
      <c r="K50" s="85"/>
      <c r="O50" t="str">
        <f t="shared" si="33"/>
        <v xml:space="preserve"> </v>
      </c>
    </row>
    <row r="51" spans="11:15" ht="24.95" customHeight="1" x14ac:dyDescent="0.2">
      <c r="K51" s="85"/>
      <c r="O51" t="str">
        <f t="shared" si="33"/>
        <v xml:space="preserve"> </v>
      </c>
    </row>
    <row r="52" spans="11:15" ht="24.95" customHeight="1" x14ac:dyDescent="0.2">
      <c r="K52" s="85"/>
      <c r="O52" t="str">
        <f t="shared" si="33"/>
        <v xml:space="preserve"> </v>
      </c>
    </row>
    <row r="53" spans="11:15" ht="24.95" customHeight="1" x14ac:dyDescent="0.2">
      <c r="K53" s="85"/>
      <c r="O53" t="str">
        <f t="shared" si="33"/>
        <v xml:space="preserve"> </v>
      </c>
    </row>
    <row r="54" spans="11:15" ht="24.95" customHeight="1" x14ac:dyDescent="0.2">
      <c r="K54" s="85"/>
      <c r="O54" t="str">
        <f t="shared" si="33"/>
        <v xml:space="preserve"> </v>
      </c>
    </row>
    <row r="55" spans="11:15" ht="24.95" customHeight="1" x14ac:dyDescent="0.2">
      <c r="K55" s="85"/>
      <c r="O55" t="str">
        <f t="shared" si="33"/>
        <v xml:space="preserve"> </v>
      </c>
    </row>
    <row r="56" spans="11:15" ht="24.95" customHeight="1" x14ac:dyDescent="0.2">
      <c r="K56" s="85"/>
      <c r="O56" t="str">
        <f t="shared" si="33"/>
        <v xml:space="preserve"> </v>
      </c>
    </row>
    <row r="57" spans="11:15" ht="24.95" customHeight="1" x14ac:dyDescent="0.2">
      <c r="K57" s="85"/>
      <c r="O57" t="str">
        <f t="shared" si="33"/>
        <v xml:space="preserve"> </v>
      </c>
    </row>
    <row r="58" spans="11:15" ht="24.95" customHeight="1" x14ac:dyDescent="0.2">
      <c r="K58" s="85"/>
      <c r="O58" t="str">
        <f t="shared" si="33"/>
        <v xml:space="preserve"> </v>
      </c>
    </row>
    <row r="59" spans="11:15" ht="24.95" customHeight="1" x14ac:dyDescent="0.2">
      <c r="K59" s="85"/>
      <c r="O59" t="str">
        <f t="shared" si="33"/>
        <v xml:space="preserve"> </v>
      </c>
    </row>
    <row r="60" spans="11:15" ht="24.95" customHeight="1" x14ac:dyDescent="0.2">
      <c r="K60" s="85"/>
      <c r="O60" t="str">
        <f t="shared" si="33"/>
        <v xml:space="preserve"> </v>
      </c>
    </row>
    <row r="61" spans="11:15" ht="24.95" customHeight="1" x14ac:dyDescent="0.2">
      <c r="K61" s="85"/>
      <c r="O61" t="str">
        <f t="shared" si="33"/>
        <v xml:space="preserve"> </v>
      </c>
    </row>
    <row r="62" spans="11:15" ht="24.95" customHeight="1" x14ac:dyDescent="0.2">
      <c r="K62" s="85"/>
      <c r="O62" t="str">
        <f t="shared" si="33"/>
        <v xml:space="preserve"> </v>
      </c>
    </row>
    <row r="63" spans="11:15" ht="24.95" customHeight="1" x14ac:dyDescent="0.2">
      <c r="K63" s="85"/>
      <c r="O63" t="str">
        <f t="shared" si="33"/>
        <v xml:space="preserve"> </v>
      </c>
    </row>
    <row r="64" spans="11:15" ht="24.95" customHeight="1" x14ac:dyDescent="0.2">
      <c r="K64" s="85"/>
      <c r="O64" t="str">
        <f t="shared" si="33"/>
        <v xml:space="preserve"> </v>
      </c>
    </row>
    <row r="65" spans="11:15" ht="24.95" customHeight="1" x14ac:dyDescent="0.2">
      <c r="K65" s="85"/>
      <c r="O65" t="str">
        <f t="shared" si="33"/>
        <v xml:space="preserve"> </v>
      </c>
    </row>
    <row r="66" spans="11:15" ht="24.95" customHeight="1" x14ac:dyDescent="0.2">
      <c r="K66" s="85"/>
      <c r="O66" t="str">
        <f t="shared" si="33"/>
        <v xml:space="preserve"> </v>
      </c>
    </row>
    <row r="67" spans="11:15" ht="24.95" customHeight="1" x14ac:dyDescent="0.2">
      <c r="K67" s="85"/>
      <c r="O67" t="str">
        <f t="shared" si="33"/>
        <v xml:space="preserve"> </v>
      </c>
    </row>
    <row r="68" spans="11:15" ht="24.95" customHeight="1" x14ac:dyDescent="0.2">
      <c r="K68" s="85"/>
      <c r="O68" t="str">
        <f t="shared" si="33"/>
        <v xml:space="preserve"> </v>
      </c>
    </row>
    <row r="69" spans="11:15" ht="24.95" customHeight="1" x14ac:dyDescent="0.2">
      <c r="K69" s="85"/>
      <c r="O69" t="str">
        <f t="shared" si="33"/>
        <v xml:space="preserve"> </v>
      </c>
    </row>
    <row r="70" spans="11:15" ht="24.95" customHeight="1" x14ac:dyDescent="0.2">
      <c r="K70" s="85"/>
      <c r="O70" t="str">
        <f t="shared" si="33"/>
        <v xml:space="preserve"> </v>
      </c>
    </row>
    <row r="71" spans="11:15" ht="24.95" customHeight="1" x14ac:dyDescent="0.2">
      <c r="K71" s="85"/>
      <c r="O71" t="str">
        <f t="shared" si="33"/>
        <v xml:space="preserve"> </v>
      </c>
    </row>
    <row r="72" spans="11:15" ht="24.95" customHeight="1" x14ac:dyDescent="0.2">
      <c r="K72" s="85"/>
      <c r="O72" t="str">
        <f t="shared" si="33"/>
        <v xml:space="preserve"> </v>
      </c>
    </row>
    <row r="73" spans="11:15" ht="24.95" customHeight="1" x14ac:dyDescent="0.2">
      <c r="K73" s="85"/>
      <c r="O73" t="str">
        <f t="shared" si="33"/>
        <v xml:space="preserve"> </v>
      </c>
    </row>
    <row r="74" spans="11:15" ht="24.95" customHeight="1" x14ac:dyDescent="0.2">
      <c r="K74" s="85"/>
      <c r="O74" t="str">
        <f t="shared" si="33"/>
        <v xml:space="preserve"> </v>
      </c>
    </row>
    <row r="75" spans="11:15" ht="24.95" customHeight="1" x14ac:dyDescent="0.2">
      <c r="K75" s="85"/>
      <c r="O75" t="str">
        <f t="shared" si="33"/>
        <v xml:space="preserve"> </v>
      </c>
    </row>
    <row r="76" spans="11:15" ht="24.95" customHeight="1" x14ac:dyDescent="0.2">
      <c r="K76" s="85"/>
      <c r="O76" t="str">
        <f t="shared" si="33"/>
        <v xml:space="preserve"> </v>
      </c>
    </row>
    <row r="77" spans="11:15" ht="24.95" customHeight="1" x14ac:dyDescent="0.2">
      <c r="K77" s="85"/>
      <c r="O77" t="str">
        <f t="shared" si="33"/>
        <v xml:space="preserve"> </v>
      </c>
    </row>
    <row r="78" spans="11:15" ht="24.95" customHeight="1" x14ac:dyDescent="0.2">
      <c r="K78" s="85"/>
      <c r="O78" t="str">
        <f t="shared" si="33"/>
        <v xml:space="preserve"> </v>
      </c>
    </row>
    <row r="79" spans="11:15" ht="24.95" customHeight="1" x14ac:dyDescent="0.2">
      <c r="K79" s="85"/>
      <c r="O79" t="str">
        <f t="shared" si="33"/>
        <v xml:space="preserve"> </v>
      </c>
    </row>
    <row r="80" spans="11:15" ht="24.95" customHeight="1" x14ac:dyDescent="0.2">
      <c r="K80" s="85"/>
      <c r="O80" t="str">
        <f t="shared" si="33"/>
        <v xml:space="preserve"> </v>
      </c>
    </row>
    <row r="81" spans="11:15" ht="24.95" customHeight="1" x14ac:dyDescent="0.2">
      <c r="K81" s="85"/>
      <c r="O81" t="str">
        <f t="shared" si="33"/>
        <v xml:space="preserve"> </v>
      </c>
    </row>
  </sheetData>
  <sheetProtection algorithmName="SHA-512" hashValue="ZA3LqlZi57f57j5GGgvh2J0DPjkwKASYV4lxma8oiRazRmw4ZAPFGSMlKJlsGWJej8OPMbENJGWPlLohz78L9w==" saltValue="bIAgUethCU9jBPo1c/XyRw==" spinCount="100000" sheet="1" objects="1" scenarios="1" selectLockedCells="1"/>
  <mergeCells count="2">
    <mergeCell ref="B3:J3"/>
    <mergeCell ref="B4:D5"/>
  </mergeCells>
  <phoneticPr fontId="14" type="noConversion"/>
  <pageMargins left="0.7" right="0.7" top="0.75" bottom="0.75" header="0.3" footer="0.3"/>
  <pageSetup paperSize="9" scale="6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2">
    <tabColor theme="4" tint="0.79998168889431442"/>
  </sheetPr>
  <dimension ref="B1:EC155"/>
  <sheetViews>
    <sheetView showRowColHeaders="0" view="pageBreakPreview" zoomScale="85" zoomScaleNormal="55" zoomScaleSheetLayoutView="85" workbookViewId="0">
      <selection activeCell="C36" sqref="C36"/>
    </sheetView>
  </sheetViews>
  <sheetFormatPr defaultRowHeight="12.75" x14ac:dyDescent="0.2"/>
  <cols>
    <col min="1" max="1" width="2.875" customWidth="1"/>
    <col min="2" max="2" width="16.75" bestFit="1" customWidth="1"/>
    <col min="4" max="6" width="9" style="76"/>
    <col min="7" max="7" width="11.125" style="76" bestFit="1" customWidth="1"/>
    <col min="8" max="8" width="14" bestFit="1" customWidth="1"/>
    <col min="9" max="9" width="20.625" hidden="1" customWidth="1"/>
    <col min="10" max="20" width="12.625" hidden="1" customWidth="1"/>
    <col min="21" max="21" width="16.375" hidden="1" customWidth="1"/>
    <col min="22" max="22" width="12.625" hidden="1" customWidth="1"/>
    <col min="23" max="23" width="14.875" hidden="1" customWidth="1"/>
    <col min="24" max="25" width="9" hidden="1" customWidth="1"/>
    <col min="26" max="26" width="12.5" hidden="1" customWidth="1"/>
    <col min="27" max="27" width="16" hidden="1" customWidth="1"/>
    <col min="28" max="29" width="9" hidden="1" customWidth="1"/>
    <col min="30" max="30" width="16.625" hidden="1" customWidth="1"/>
    <col min="31" max="34" width="9" hidden="1" customWidth="1"/>
    <col min="35" max="35" width="12.375" hidden="1" customWidth="1"/>
    <col min="36" max="36" width="9" hidden="1" customWidth="1"/>
    <col min="37" max="37" width="17.75" hidden="1" customWidth="1"/>
    <col min="38" max="48" width="9" hidden="1" customWidth="1"/>
    <col min="49" max="49" width="13.5" hidden="1" customWidth="1"/>
    <col min="50" max="52" width="9" hidden="1" customWidth="1"/>
    <col min="53" max="53" width="15.875" hidden="1" customWidth="1"/>
    <col min="54" max="54" width="12.75" hidden="1" customWidth="1"/>
    <col min="55" max="55" width="18.5" hidden="1" customWidth="1"/>
    <col min="56" max="56" width="14.5" hidden="1" customWidth="1"/>
    <col min="57" max="57" width="12.5" hidden="1" customWidth="1"/>
    <col min="58" max="58" width="13.875" hidden="1" customWidth="1"/>
    <col min="59" max="78" width="9" hidden="1" customWidth="1"/>
    <col min="79" max="135" width="9" customWidth="1"/>
  </cols>
  <sheetData>
    <row r="1" spans="2:133" ht="13.5" customHeight="1" thickBot="1" x14ac:dyDescent="0.25">
      <c r="I1" s="2">
        <v>1</v>
      </c>
      <c r="J1">
        <v>2</v>
      </c>
      <c r="K1">
        <v>3</v>
      </c>
      <c r="L1">
        <v>4</v>
      </c>
      <c r="M1">
        <v>5</v>
      </c>
      <c r="N1">
        <v>6</v>
      </c>
      <c r="O1">
        <v>7</v>
      </c>
      <c r="P1">
        <v>8</v>
      </c>
      <c r="Q1">
        <v>9</v>
      </c>
      <c r="R1">
        <v>10</v>
      </c>
      <c r="S1">
        <v>11</v>
      </c>
      <c r="T1">
        <v>12</v>
      </c>
    </row>
    <row r="2" spans="2:133" ht="50.25" customHeight="1" x14ac:dyDescent="0.2">
      <c r="B2" s="421" t="str">
        <f>Translation!B15</f>
        <v>Madera</v>
      </c>
      <c r="C2" s="423" t="s">
        <v>46</v>
      </c>
      <c r="D2" s="290" t="s">
        <v>160</v>
      </c>
      <c r="E2" s="290" t="s">
        <v>161</v>
      </c>
      <c r="F2" s="290" t="s">
        <v>231</v>
      </c>
      <c r="G2" s="290" t="s">
        <v>184</v>
      </c>
      <c r="H2" s="292"/>
      <c r="I2" s="434" t="s">
        <v>47</v>
      </c>
      <c r="J2" s="36" t="s">
        <v>48</v>
      </c>
      <c r="K2" s="37" t="s">
        <v>49</v>
      </c>
      <c r="L2" s="37" t="s">
        <v>157</v>
      </c>
      <c r="M2" s="37" t="s">
        <v>50</v>
      </c>
      <c r="N2" s="37" t="s">
        <v>130</v>
      </c>
      <c r="O2" s="37" t="s">
        <v>51</v>
      </c>
      <c r="P2" s="37" t="s">
        <v>52</v>
      </c>
      <c r="Q2" s="37" t="s">
        <v>53</v>
      </c>
      <c r="R2" s="104" t="s">
        <v>149</v>
      </c>
      <c r="S2" s="104" t="s">
        <v>150</v>
      </c>
      <c r="T2" s="38" t="s">
        <v>131</v>
      </c>
      <c r="U2" s="432" t="s">
        <v>47</v>
      </c>
      <c r="W2" s="79" t="s">
        <v>51</v>
      </c>
      <c r="Y2" s="180"/>
      <c r="Z2" s="180" t="str">
        <f>RIGHT(AA4,2)</f>
        <v>80</v>
      </c>
      <c r="AA2" s="3"/>
      <c r="AB2" s="3" t="s">
        <v>131</v>
      </c>
      <c r="AC2" s="3" t="s">
        <v>132</v>
      </c>
      <c r="AD2" s="432" t="s">
        <v>47</v>
      </c>
      <c r="AE2" s="37" t="s">
        <v>49</v>
      </c>
      <c r="AF2" s="37" t="s">
        <v>220</v>
      </c>
      <c r="AG2" s="37" t="s">
        <v>221</v>
      </c>
      <c r="AH2" s="176" t="s">
        <v>239</v>
      </c>
      <c r="AJ2" s="176" t="s">
        <v>328</v>
      </c>
      <c r="AK2" s="176" t="s">
        <v>327</v>
      </c>
      <c r="AL2" s="176" t="s">
        <v>329</v>
      </c>
      <c r="AM2" s="176" t="s">
        <v>350</v>
      </c>
      <c r="AN2" s="176" t="s">
        <v>342</v>
      </c>
      <c r="AO2" s="176" t="s">
        <v>345</v>
      </c>
      <c r="AP2" s="176" t="s">
        <v>343</v>
      </c>
      <c r="AQ2" s="176" t="s">
        <v>346</v>
      </c>
      <c r="AR2" s="176" t="s">
        <v>347</v>
      </c>
      <c r="AS2" s="176" t="s">
        <v>348</v>
      </c>
      <c r="AT2" s="176" t="s">
        <v>349</v>
      </c>
      <c r="BD2" t="str">
        <f>'LOCK-T'!H97</f>
        <v>LOCK-T 100 290</v>
      </c>
      <c r="BF2" t="s">
        <v>351</v>
      </c>
    </row>
    <row r="3" spans="2:133" ht="23.25" customHeight="1" thickBot="1" x14ac:dyDescent="0.25">
      <c r="B3" s="422"/>
      <c r="C3" s="424"/>
      <c r="D3" s="327" t="s">
        <v>159</v>
      </c>
      <c r="E3" s="327" t="s">
        <v>159</v>
      </c>
      <c r="F3" s="327" t="s">
        <v>159</v>
      </c>
      <c r="G3" s="327" t="s">
        <v>159</v>
      </c>
      <c r="H3" s="293"/>
      <c r="I3" s="435"/>
      <c r="J3" s="40" t="s">
        <v>14</v>
      </c>
      <c r="K3" s="40" t="s">
        <v>14</v>
      </c>
      <c r="L3" s="40" t="s">
        <v>158</v>
      </c>
      <c r="M3" s="40"/>
      <c r="N3" s="40"/>
      <c r="O3" s="40" t="s">
        <v>4</v>
      </c>
      <c r="P3" s="40" t="s">
        <v>4</v>
      </c>
      <c r="Q3" s="40" t="s">
        <v>54</v>
      </c>
      <c r="R3" s="105" t="s">
        <v>54</v>
      </c>
      <c r="S3" s="105" t="s">
        <v>4</v>
      </c>
      <c r="T3" s="122" t="s">
        <v>14</v>
      </c>
      <c r="U3" s="433"/>
      <c r="W3" s="79">
        <v>1</v>
      </c>
      <c r="Y3" s="180" t="str">
        <f>RIGHT(LEFT(AA4,8),2)</f>
        <v xml:space="preserve"> 1</v>
      </c>
      <c r="Z3" s="180" t="str">
        <f>LEFT(AA4,5)</f>
        <v>LOCK-</v>
      </c>
      <c r="AA3" s="3"/>
      <c r="AB3" s="3" t="s">
        <v>14</v>
      </c>
      <c r="AC3" s="3" t="s">
        <v>14</v>
      </c>
      <c r="AD3" s="433"/>
      <c r="AE3" s="3"/>
      <c r="AF3" s="3"/>
      <c r="AH3" t="s">
        <v>14</v>
      </c>
      <c r="BD3">
        <f>IF(BD2=AA4,1,IF(BD2=AA8,1,2))</f>
        <v>2</v>
      </c>
      <c r="BF3" t="s">
        <v>352</v>
      </c>
      <c r="BG3" t="s">
        <v>353</v>
      </c>
      <c r="BK3" t="s">
        <v>510</v>
      </c>
    </row>
    <row r="4" spans="2:133" ht="20.100000000000001" customHeight="1" x14ac:dyDescent="0.2">
      <c r="B4" s="291" t="s">
        <v>55</v>
      </c>
      <c r="C4" s="328">
        <v>340</v>
      </c>
      <c r="D4" s="329">
        <v>20</v>
      </c>
      <c r="E4" s="329">
        <v>2.5</v>
      </c>
      <c r="F4" s="329">
        <v>1.2</v>
      </c>
      <c r="G4" s="329">
        <v>3.5</v>
      </c>
      <c r="H4" s="249" t="s">
        <v>498</v>
      </c>
      <c r="I4" s="283" t="s">
        <v>56</v>
      </c>
      <c r="J4" s="87">
        <v>80</v>
      </c>
      <c r="K4" s="87">
        <v>17.5</v>
      </c>
      <c r="L4" s="87">
        <v>492</v>
      </c>
      <c r="M4" s="87">
        <v>2</v>
      </c>
      <c r="N4" s="87">
        <v>1</v>
      </c>
      <c r="O4" s="87">
        <v>1</v>
      </c>
      <c r="P4" s="87">
        <v>2.19</v>
      </c>
      <c r="Q4" s="87">
        <v>10</v>
      </c>
      <c r="R4" s="121">
        <v>2.7</v>
      </c>
      <c r="S4" s="121">
        <v>0.71</v>
      </c>
      <c r="T4" s="32">
        <v>20</v>
      </c>
      <c r="U4" s="114" t="s">
        <v>56</v>
      </c>
      <c r="W4" s="79">
        <v>2</v>
      </c>
      <c r="Y4" s="191"/>
      <c r="Z4" s="191" t="str">
        <f>CONCATENATE("LOCKT",ROUND(K4,0),J4)</f>
        <v>LOCKT1880</v>
      </c>
      <c r="AA4" s="239" t="str">
        <f>CONCATENATE("LOCK-T"," ",ROUND(AB4,0)," ",AC4)</f>
        <v>LOCK-T 18 80</v>
      </c>
      <c r="AB4" s="3">
        <v>17.5</v>
      </c>
      <c r="AC4" s="3">
        <v>80</v>
      </c>
      <c r="AD4" s="3" t="str">
        <f>VLOOKUP(AC4,$J$4:$U$12,12,FALSE)</f>
        <v>Lock-T 80</v>
      </c>
      <c r="AE4" s="3">
        <f>VLOOKUP(AD4,$I$4:$K$12,3,FALSE)</f>
        <v>17.5</v>
      </c>
      <c r="AF4" s="3">
        <f>AB4/AE4</f>
        <v>1</v>
      </c>
      <c r="AG4">
        <f>VLOOKUP(AD4,$I$4:$M$12,5,FALSE)*AF4</f>
        <v>2</v>
      </c>
      <c r="AH4" s="76">
        <v>7</v>
      </c>
      <c r="AI4" t="s">
        <v>281</v>
      </c>
      <c r="AJ4" t="s">
        <v>325</v>
      </c>
      <c r="AL4" s="228">
        <v>0</v>
      </c>
      <c r="AM4" s="241">
        <v>1</v>
      </c>
      <c r="AV4">
        <v>50</v>
      </c>
      <c r="BA4" t="str">
        <f>CONCATENATE(AM4," x ",AM2)</f>
        <v>1 x LOCKSTOP5U</v>
      </c>
      <c r="BB4" t="s">
        <v>344</v>
      </c>
      <c r="BC4" s="2">
        <v>1</v>
      </c>
      <c r="BD4" t="str">
        <f>IF(BD2=AA4,BA4,IF(BD2=AA5,BA5,IF(BD2=AA6,BA5,IF(BD2=AA7,BA6,IF(BD2=AA8,BA6,IF(BD2=AA9,BA9,IF(BD2=AA10,BA10,BA10)))))))</f>
        <v>4 x LOCKSTOP7</v>
      </c>
      <c r="BF4" t="str">
        <f>IF('LOCK-T'!H103+'LOCK-T'!I103=70,Data!BA5,IF('LOCK-T'!H103+'LOCK-T'!I103=87.5,Data!BA6,IF('LOCK-T'!H103+'LOCK-T'!I103=35,Data!BA5,IF('LOCK-T'!H103+'LOCK-T'!I103&gt;88,Data!BA6,"-"))))</f>
        <v>4 x LOCKSTOP5</v>
      </c>
      <c r="BG4" t="str">
        <f>IF('LOCK-T'!H104&gt;=175,Data!BA10,IF('LOCK-T'!H103+'LOCK-T'!I103=100,Data!BA9,"-"))</f>
        <v>4 x LOCKSTOP7</v>
      </c>
      <c r="BJ4">
        <v>1</v>
      </c>
      <c r="BK4">
        <v>50</v>
      </c>
      <c r="EC4" s="291" t="s">
        <v>55</v>
      </c>
    </row>
    <row r="5" spans="2:133" ht="20.100000000000001" customHeight="1" x14ac:dyDescent="0.2">
      <c r="B5" s="291" t="s">
        <v>57</v>
      </c>
      <c r="C5" s="328">
        <v>370</v>
      </c>
      <c r="D5" s="329">
        <v>22</v>
      </c>
      <c r="E5" s="329">
        <v>2.5</v>
      </c>
      <c r="F5" s="329">
        <v>1.2</v>
      </c>
      <c r="G5" s="329">
        <v>3.5</v>
      </c>
      <c r="H5" s="249" t="s">
        <v>498</v>
      </c>
      <c r="I5" s="284" t="s">
        <v>58</v>
      </c>
      <c r="J5" s="79">
        <v>100</v>
      </c>
      <c r="K5" s="79">
        <v>17.5</v>
      </c>
      <c r="L5" s="79">
        <v>614</v>
      </c>
      <c r="M5" s="79">
        <v>3</v>
      </c>
      <c r="N5" s="79">
        <v>1</v>
      </c>
      <c r="O5" s="79">
        <f>O4</f>
        <v>1</v>
      </c>
      <c r="P5" s="79">
        <v>4.3899999999999997</v>
      </c>
      <c r="Q5" s="79">
        <v>10</v>
      </c>
      <c r="R5" s="106">
        <v>2.9</v>
      </c>
      <c r="S5" s="106">
        <v>0.56999999999999995</v>
      </c>
      <c r="T5" s="33">
        <v>20</v>
      </c>
      <c r="U5" s="1" t="s">
        <v>58</v>
      </c>
      <c r="W5" s="79">
        <v>3</v>
      </c>
      <c r="Y5" s="191"/>
      <c r="Z5" s="191" t="str">
        <f t="shared" ref="Z5:Z24" si="0">CONCATENATE("LOCKT",ROUND(K5,0),J5)</f>
        <v>LOCKT18100</v>
      </c>
      <c r="AA5" s="3" t="str">
        <f t="shared" ref="AA5:AA22" si="1">CONCATENATE("LOCK-T"," ",ROUND(AB5,0)," ",AC5)</f>
        <v>LOCK-T 35 80</v>
      </c>
      <c r="AB5" s="3">
        <v>35</v>
      </c>
      <c r="AC5" s="3">
        <v>80</v>
      </c>
      <c r="AD5" s="3" t="str">
        <f t="shared" ref="AD5:AD22" si="2">VLOOKUP(AC5,$J$4:$U$12,12,FALSE)</f>
        <v>Lock-T 80</v>
      </c>
      <c r="AE5" s="3">
        <f t="shared" ref="AE5:AE22" si="3">VLOOKUP(AD5,$I$4:$K$12,3,FALSE)</f>
        <v>17.5</v>
      </c>
      <c r="AF5" s="3">
        <f t="shared" ref="AF5:AF24" si="4">AB5/AE5</f>
        <v>2</v>
      </c>
      <c r="AG5">
        <f t="shared" ref="AG5:AG22" si="5">VLOOKUP(AD5,$I$4:$M$12,5,FALSE)*AF5</f>
        <v>4</v>
      </c>
      <c r="AH5" s="76">
        <v>7</v>
      </c>
      <c r="AI5" t="s">
        <v>281</v>
      </c>
      <c r="AJ5" t="s">
        <v>325</v>
      </c>
      <c r="AL5" s="228">
        <v>1</v>
      </c>
      <c r="AN5" s="241">
        <v>2</v>
      </c>
      <c r="AO5">
        <v>1</v>
      </c>
      <c r="AV5">
        <v>50</v>
      </c>
      <c r="BA5" t="str">
        <f>CONCATENATE(AN5," x ",AN2)</f>
        <v>2 x LOCKSTOP5</v>
      </c>
      <c r="BB5" t="s">
        <v>342</v>
      </c>
      <c r="BC5" s="2">
        <v>1</v>
      </c>
      <c r="BD5" t="str">
        <f>IF(BD2=AA5,BA7,IF(BD2=AA6,BA7,IF(BD2=AA7,BA8,IF(BD2=AA9,BA11,IF(BD2=AA10,BA12,IF(BD2=AA11,BA13,IF(BD2=AA12,BA13,IF(BD2=AA13,BA14,IF(BD2=AA14,BA13,IF(BD2=AA15,BA14,IF(BD2=AA16,BA15,IF(BD2=AA17,BA13,IF(BD2=AA18,BA14,IF(BD2=AA19,BA15,IF(BD2=AA20,BA13,IF(BD2=AA21,BA14,IF(BD2=AA22,BA15,"-")))))))))))))))))</f>
        <v>2 x LOCKSTOP100</v>
      </c>
      <c r="BG5" t="str">
        <f>IF('LOCK-T'!H103+'LOCK-T'!I103=100,BA16,IF('LOCK-T'!H103+'LOCK-T'!I103=125,BA15,"-"))</f>
        <v>-</v>
      </c>
      <c r="BJ5">
        <v>2</v>
      </c>
      <c r="BK5">
        <v>100</v>
      </c>
      <c r="EC5" s="291" t="s">
        <v>57</v>
      </c>
    </row>
    <row r="6" spans="2:133" ht="20.100000000000001" customHeight="1" x14ac:dyDescent="0.2">
      <c r="B6" s="291" t="s">
        <v>1</v>
      </c>
      <c r="C6" s="147">
        <v>385</v>
      </c>
      <c r="D6" s="110">
        <v>24</v>
      </c>
      <c r="E6" s="110">
        <v>2.5</v>
      </c>
      <c r="F6" s="110">
        <v>1.2</v>
      </c>
      <c r="G6" s="110">
        <v>3.5</v>
      </c>
      <c r="H6" s="249" t="s">
        <v>498</v>
      </c>
      <c r="I6" s="284" t="s">
        <v>59</v>
      </c>
      <c r="J6" s="79">
        <v>120</v>
      </c>
      <c r="K6" s="79">
        <v>17.5</v>
      </c>
      <c r="L6" s="79">
        <v>734</v>
      </c>
      <c r="M6" s="79">
        <v>4</v>
      </c>
      <c r="N6" s="79">
        <v>1</v>
      </c>
      <c r="O6" s="79">
        <f t="shared" ref="O6:O8" si="6">O5</f>
        <v>1</v>
      </c>
      <c r="P6" s="79">
        <v>7.36</v>
      </c>
      <c r="Q6" s="79">
        <v>10</v>
      </c>
      <c r="R6" s="106">
        <v>3.1</v>
      </c>
      <c r="S6" s="106">
        <v>0.52</v>
      </c>
      <c r="T6" s="33">
        <v>20</v>
      </c>
      <c r="U6" s="1" t="s">
        <v>59</v>
      </c>
      <c r="W6" s="79">
        <v>4</v>
      </c>
      <c r="Y6" s="191"/>
      <c r="Z6" s="191" t="str">
        <f t="shared" si="0"/>
        <v>LOCKT18120</v>
      </c>
      <c r="AA6" s="239" t="str">
        <f t="shared" si="1"/>
        <v>LOCK-T 35 100</v>
      </c>
      <c r="AB6" s="3">
        <v>35</v>
      </c>
      <c r="AC6" s="3">
        <v>100</v>
      </c>
      <c r="AD6" s="3" t="str">
        <f t="shared" si="2"/>
        <v>Lock-T 100</v>
      </c>
      <c r="AE6" s="3">
        <f t="shared" si="3"/>
        <v>17.5</v>
      </c>
      <c r="AF6" s="3">
        <f t="shared" si="4"/>
        <v>2</v>
      </c>
      <c r="AG6">
        <f t="shared" si="5"/>
        <v>6</v>
      </c>
      <c r="AH6" s="76">
        <v>7</v>
      </c>
      <c r="AI6" t="s">
        <v>281</v>
      </c>
      <c r="AJ6" t="s">
        <v>325</v>
      </c>
      <c r="AL6" s="228">
        <v>1</v>
      </c>
      <c r="AN6" s="241">
        <v>2</v>
      </c>
      <c r="AO6">
        <v>1</v>
      </c>
      <c r="AV6">
        <v>50</v>
      </c>
      <c r="BA6" t="str">
        <f>CONCATENATE(AN7," x ",AN2)</f>
        <v>4 x LOCKSTOP5</v>
      </c>
      <c r="BB6" t="s">
        <v>342</v>
      </c>
      <c r="BC6" s="2">
        <v>2</v>
      </c>
      <c r="BJ6">
        <v>4</v>
      </c>
      <c r="BK6">
        <v>100</v>
      </c>
      <c r="EC6" s="291" t="s">
        <v>1</v>
      </c>
    </row>
    <row r="7" spans="2:133" ht="20.100000000000001" customHeight="1" x14ac:dyDescent="0.2">
      <c r="B7" s="291" t="s">
        <v>60</v>
      </c>
      <c r="C7" s="328">
        <v>405</v>
      </c>
      <c r="D7" s="329">
        <v>26</v>
      </c>
      <c r="E7" s="329">
        <v>2.5</v>
      </c>
      <c r="F7" s="329">
        <v>1.2</v>
      </c>
      <c r="G7" s="329">
        <v>3.5</v>
      </c>
      <c r="H7" s="249" t="s">
        <v>498</v>
      </c>
      <c r="I7" s="284" t="s">
        <v>61</v>
      </c>
      <c r="J7" s="79">
        <v>135</v>
      </c>
      <c r="K7" s="79">
        <v>25</v>
      </c>
      <c r="L7" s="79">
        <v>924</v>
      </c>
      <c r="M7" s="79">
        <v>3</v>
      </c>
      <c r="N7" s="79">
        <v>1</v>
      </c>
      <c r="O7" s="79">
        <f t="shared" si="6"/>
        <v>1</v>
      </c>
      <c r="P7" s="77">
        <v>5.3</v>
      </c>
      <c r="Q7" s="79">
        <v>15</v>
      </c>
      <c r="R7" s="106">
        <v>2.7</v>
      </c>
      <c r="S7" s="106">
        <v>0.65</v>
      </c>
      <c r="T7" s="33">
        <v>22</v>
      </c>
      <c r="U7" s="1" t="s">
        <v>61</v>
      </c>
      <c r="W7" s="79">
        <v>5</v>
      </c>
      <c r="Y7" s="191"/>
      <c r="Z7" s="191" t="str">
        <f t="shared" si="0"/>
        <v>LOCKT25135</v>
      </c>
      <c r="AA7" s="239" t="str">
        <f t="shared" si="1"/>
        <v>LOCK-T 35 120</v>
      </c>
      <c r="AB7" s="3">
        <v>35</v>
      </c>
      <c r="AC7" s="3">
        <v>120</v>
      </c>
      <c r="AD7" s="3" t="str">
        <f t="shared" si="2"/>
        <v>Lock-T 120</v>
      </c>
      <c r="AE7" s="3">
        <f t="shared" si="3"/>
        <v>17.5</v>
      </c>
      <c r="AF7" s="3">
        <f t="shared" si="4"/>
        <v>2</v>
      </c>
      <c r="AG7">
        <f t="shared" si="5"/>
        <v>8</v>
      </c>
      <c r="AH7" s="76">
        <v>7</v>
      </c>
      <c r="AI7" t="s">
        <v>281</v>
      </c>
      <c r="AJ7" t="s">
        <v>325</v>
      </c>
      <c r="AL7" s="228">
        <v>1</v>
      </c>
      <c r="AN7" s="241">
        <v>4</v>
      </c>
      <c r="AO7">
        <v>2</v>
      </c>
      <c r="AV7">
        <v>25</v>
      </c>
      <c r="BA7" t="str">
        <f>CONCATENATE(AO5," x ",AO2)</f>
        <v>1 x LOCKSTOP35</v>
      </c>
      <c r="BB7" t="s">
        <v>345</v>
      </c>
      <c r="BC7" s="2">
        <v>1</v>
      </c>
      <c r="BJ7">
        <v>1</v>
      </c>
      <c r="BK7">
        <v>50</v>
      </c>
      <c r="EC7" s="291" t="s">
        <v>60</v>
      </c>
    </row>
    <row r="8" spans="2:133" ht="20.100000000000001" customHeight="1" x14ac:dyDescent="0.2">
      <c r="B8" s="291" t="s">
        <v>62</v>
      </c>
      <c r="C8" s="328">
        <v>425</v>
      </c>
      <c r="D8" s="329">
        <v>28</v>
      </c>
      <c r="E8" s="329">
        <v>2.5</v>
      </c>
      <c r="F8" s="329">
        <v>1.2</v>
      </c>
      <c r="G8" s="329">
        <v>3.5</v>
      </c>
      <c r="H8" s="249" t="s">
        <v>498</v>
      </c>
      <c r="I8" s="284" t="s">
        <v>63</v>
      </c>
      <c r="J8" s="79">
        <v>175</v>
      </c>
      <c r="K8" s="79">
        <v>25</v>
      </c>
      <c r="L8" s="79">
        <v>1174</v>
      </c>
      <c r="M8" s="79">
        <v>4</v>
      </c>
      <c r="N8" s="79">
        <v>1</v>
      </c>
      <c r="O8" s="79">
        <f t="shared" si="6"/>
        <v>1</v>
      </c>
      <c r="P8" s="90">
        <v>10</v>
      </c>
      <c r="Q8" s="79">
        <v>20</v>
      </c>
      <c r="R8" s="106">
        <v>2.7</v>
      </c>
      <c r="S8" s="106">
        <v>0.56999999999999995</v>
      </c>
      <c r="T8" s="33">
        <v>22</v>
      </c>
      <c r="U8" s="1" t="s">
        <v>63</v>
      </c>
      <c r="W8" s="79">
        <v>6</v>
      </c>
      <c r="Y8" s="191"/>
      <c r="Z8" s="191" t="str">
        <f t="shared" si="0"/>
        <v>LOCKT25175</v>
      </c>
      <c r="AA8" s="3" t="str">
        <f t="shared" si="1"/>
        <v>LOCK-T 53 120</v>
      </c>
      <c r="AB8" s="3">
        <v>52.5</v>
      </c>
      <c r="AC8" s="3">
        <v>120</v>
      </c>
      <c r="AD8" s="3" t="str">
        <f t="shared" si="2"/>
        <v>Lock-T 120</v>
      </c>
      <c r="AE8" s="3">
        <f t="shared" si="3"/>
        <v>17.5</v>
      </c>
      <c r="AF8" s="3">
        <f t="shared" si="4"/>
        <v>3</v>
      </c>
      <c r="AG8">
        <f t="shared" si="5"/>
        <v>12</v>
      </c>
      <c r="AH8" s="76">
        <v>6.5</v>
      </c>
      <c r="AI8" t="s">
        <v>281</v>
      </c>
      <c r="AJ8" t="s">
        <v>325</v>
      </c>
      <c r="AL8" s="228">
        <v>1</v>
      </c>
      <c r="AN8" s="241">
        <v>4</v>
      </c>
      <c r="AV8">
        <v>25</v>
      </c>
      <c r="AW8">
        <f>IF('LOCK-T'!H104=80,2,IF('LOCK-T'!H104=100,1,IF('LOCK-T'!H104=120,2,IF('LOCK-T'!H104=135,1,IF('LOCK-T'!H104=175,2,IF('LOCK-T'!H104=215,2,IF('LOCK-T'!H104=240,3,IF('LOCK-T'!H104=265,3,IF('LOCK-T'!H104=290,3,)))))))))</f>
        <v>3</v>
      </c>
      <c r="BA8" t="str">
        <f>CONCATENATE(AO7," x ",AO2)</f>
        <v>2 x LOCKSTOP35</v>
      </c>
      <c r="BB8" t="s">
        <v>345</v>
      </c>
      <c r="BC8" s="2">
        <v>2</v>
      </c>
      <c r="BJ8">
        <v>2</v>
      </c>
      <c r="BK8">
        <v>50</v>
      </c>
      <c r="EC8" s="291" t="s">
        <v>62</v>
      </c>
    </row>
    <row r="9" spans="2:133" ht="20.100000000000001" customHeight="1" x14ac:dyDescent="0.2">
      <c r="B9" s="291" t="s">
        <v>64</v>
      </c>
      <c r="C9" s="147">
        <v>430</v>
      </c>
      <c r="D9" s="110">
        <v>30</v>
      </c>
      <c r="E9" s="110">
        <v>2.5</v>
      </c>
      <c r="F9" s="110">
        <v>1.2</v>
      </c>
      <c r="G9" s="110">
        <v>3.5</v>
      </c>
      <c r="H9" s="249" t="s">
        <v>498</v>
      </c>
      <c r="I9" s="284" t="s">
        <v>65</v>
      </c>
      <c r="J9" s="79">
        <v>215</v>
      </c>
      <c r="K9" s="79">
        <v>25</v>
      </c>
      <c r="L9" s="79">
        <v>1414</v>
      </c>
      <c r="M9" s="79">
        <v>6</v>
      </c>
      <c r="N9" s="79">
        <v>1</v>
      </c>
      <c r="O9" s="79">
        <f>O5</f>
        <v>1</v>
      </c>
      <c r="P9" s="91">
        <v>17.2</v>
      </c>
      <c r="Q9" s="79">
        <v>20</v>
      </c>
      <c r="R9" s="106">
        <v>2.2999999999999998</v>
      </c>
      <c r="S9" s="106">
        <v>0.57999999999999996</v>
      </c>
      <c r="T9" s="33">
        <v>22</v>
      </c>
      <c r="U9" s="1" t="s">
        <v>65</v>
      </c>
      <c r="W9" s="86">
        <v>7</v>
      </c>
      <c r="Y9" s="191"/>
      <c r="Z9" s="191" t="str">
        <f t="shared" si="0"/>
        <v>LOCKT25215</v>
      </c>
      <c r="AA9" s="239" t="str">
        <f t="shared" si="1"/>
        <v>LOCK-T 50 135</v>
      </c>
      <c r="AB9" s="3">
        <v>50</v>
      </c>
      <c r="AC9" s="3">
        <v>135</v>
      </c>
      <c r="AD9" s="3" t="str">
        <f t="shared" si="2"/>
        <v>Lock-T 135</v>
      </c>
      <c r="AE9" s="3">
        <f t="shared" si="3"/>
        <v>25</v>
      </c>
      <c r="AF9" s="3">
        <f t="shared" si="4"/>
        <v>2</v>
      </c>
      <c r="AG9">
        <f t="shared" si="5"/>
        <v>6</v>
      </c>
      <c r="AH9" s="76">
        <v>7</v>
      </c>
      <c r="AI9" t="s">
        <v>281</v>
      </c>
      <c r="AJ9" t="s">
        <v>325</v>
      </c>
      <c r="AL9" s="228">
        <v>1</v>
      </c>
      <c r="AP9" s="241">
        <v>2</v>
      </c>
      <c r="AQ9">
        <v>1</v>
      </c>
      <c r="AV9">
        <v>25</v>
      </c>
      <c r="AW9" t="str">
        <f>IF('LOCK-T'!H104=80,Data!AA4,IF('LOCK-T'!H104=100,Data!AA6,IF('LOCK-T'!H104=120,Data!AA7,IF('LOCK-T'!H104=135,Data!AA9,IF('LOCK-T'!H104=175,AA10,IF('LOCK-T'!H104=215,Data!AA12,IF('LOCK-T'!H104=240,Data!AA14,IF('LOCK-T'!H104=265,Data!AA17,IF('LOCK-T'!H104=290,Data!AA20,)))))))))</f>
        <v>LOCK-T 75 290</v>
      </c>
      <c r="BA9" t="str">
        <f>CONCATENATE(AP9," x ",AP2)</f>
        <v>2 x LOCKSTOP7</v>
      </c>
      <c r="BB9" t="s">
        <v>343</v>
      </c>
      <c r="BC9" s="2">
        <v>1</v>
      </c>
      <c r="BJ9">
        <v>2</v>
      </c>
      <c r="BK9">
        <v>50</v>
      </c>
      <c r="EC9" s="291" t="s">
        <v>64</v>
      </c>
    </row>
    <row r="10" spans="2:133" ht="20.100000000000001" customHeight="1" x14ac:dyDescent="0.2">
      <c r="B10" s="291" t="s">
        <v>66</v>
      </c>
      <c r="C10" s="328">
        <v>440</v>
      </c>
      <c r="D10" s="329">
        <v>32</v>
      </c>
      <c r="E10" s="329">
        <v>2.5</v>
      </c>
      <c r="F10" s="329">
        <v>1.2</v>
      </c>
      <c r="G10" s="329">
        <v>3.5</v>
      </c>
      <c r="H10" s="249" t="s">
        <v>498</v>
      </c>
      <c r="I10" s="285" t="s">
        <v>124</v>
      </c>
      <c r="J10" s="91">
        <v>240</v>
      </c>
      <c r="K10" s="91">
        <v>25</v>
      </c>
      <c r="L10" s="91">
        <v>1645</v>
      </c>
      <c r="M10" s="91">
        <v>7</v>
      </c>
      <c r="N10" s="91">
        <v>1</v>
      </c>
      <c r="O10" s="91">
        <f>O6</f>
        <v>1</v>
      </c>
      <c r="P10" s="91">
        <v>22.7</v>
      </c>
      <c r="Q10" s="91">
        <v>24</v>
      </c>
      <c r="R10" s="107">
        <v>2.8</v>
      </c>
      <c r="S10" s="107">
        <v>0.56999999999999995</v>
      </c>
      <c r="T10" s="94">
        <v>22</v>
      </c>
      <c r="U10" s="93" t="s">
        <v>124</v>
      </c>
      <c r="W10" s="89"/>
      <c r="Y10" s="191"/>
      <c r="Z10" s="191" t="str">
        <f t="shared" si="0"/>
        <v>LOCKT25240</v>
      </c>
      <c r="AA10" s="239" t="str">
        <f t="shared" si="1"/>
        <v>LOCK-T 50 175</v>
      </c>
      <c r="AB10" s="3">
        <v>50</v>
      </c>
      <c r="AC10" s="3">
        <v>175</v>
      </c>
      <c r="AD10" s="3" t="str">
        <f t="shared" si="2"/>
        <v>Lock-T 175</v>
      </c>
      <c r="AE10" s="3">
        <f t="shared" si="3"/>
        <v>25</v>
      </c>
      <c r="AF10" s="3">
        <f t="shared" si="4"/>
        <v>2</v>
      </c>
      <c r="AG10">
        <f t="shared" si="5"/>
        <v>8</v>
      </c>
      <c r="AH10" s="76">
        <v>7</v>
      </c>
      <c r="AI10" t="s">
        <v>281</v>
      </c>
      <c r="AJ10" t="s">
        <v>325</v>
      </c>
      <c r="AL10" s="228">
        <v>1</v>
      </c>
      <c r="AP10" s="241">
        <v>4</v>
      </c>
      <c r="AQ10">
        <v>2</v>
      </c>
      <c r="AV10">
        <v>18</v>
      </c>
      <c r="AW10" t="str">
        <f>IF('LOCK-T'!H104=80,Data!AA5,IF('LOCK-T'!H104=120,Data!AA8,IF('LOCK-T'!H104=175,AA11,IF('LOCK-T'!H104=215,Data!AA13,IF('LOCK-T'!H104=240,Data!AA15,IF('LOCK-T'!H104=265,Data!AA18,IF('LOCK-T'!H104=290,Data!AA21,)))))))</f>
        <v>LOCK-T 100 290</v>
      </c>
      <c r="BA10" t="str">
        <f>CONCATENATE(AP10," x ",AP2)</f>
        <v>4 x LOCKSTOP7</v>
      </c>
      <c r="BB10" t="s">
        <v>343</v>
      </c>
      <c r="BC10" s="2">
        <v>2</v>
      </c>
      <c r="BJ10">
        <v>4</v>
      </c>
      <c r="BK10">
        <v>50</v>
      </c>
      <c r="EC10" s="291" t="s">
        <v>66</v>
      </c>
    </row>
    <row r="11" spans="2:133" ht="20.100000000000001" customHeight="1" x14ac:dyDescent="0.2">
      <c r="B11" s="291"/>
      <c r="C11" s="328"/>
      <c r="D11" s="329"/>
      <c r="E11" s="329"/>
      <c r="F11" s="329"/>
      <c r="G11" s="329"/>
      <c r="H11" s="249"/>
      <c r="I11" s="285" t="s">
        <v>125</v>
      </c>
      <c r="J11" s="91">
        <v>265</v>
      </c>
      <c r="K11" s="91">
        <v>25</v>
      </c>
      <c r="L11" s="91">
        <v>1795</v>
      </c>
      <c r="M11" s="91">
        <v>8</v>
      </c>
      <c r="N11" s="91">
        <v>1</v>
      </c>
      <c r="O11" s="91">
        <f>O7</f>
        <v>1</v>
      </c>
      <c r="P11" s="90">
        <v>29</v>
      </c>
      <c r="Q11" s="91">
        <v>24</v>
      </c>
      <c r="R11" s="107">
        <v>2.8</v>
      </c>
      <c r="S11" s="107">
        <v>0.56000000000000005</v>
      </c>
      <c r="T11" s="94">
        <v>22</v>
      </c>
      <c r="U11" s="93" t="s">
        <v>125</v>
      </c>
      <c r="W11" s="3"/>
      <c r="Y11" s="191"/>
      <c r="Z11" s="191" t="str">
        <f t="shared" si="0"/>
        <v>LOCKT25265</v>
      </c>
      <c r="AA11" s="3" t="str">
        <f t="shared" si="1"/>
        <v>LOCK-T 75 175</v>
      </c>
      <c r="AB11" s="3">
        <v>75</v>
      </c>
      <c r="AC11" s="3">
        <v>175</v>
      </c>
      <c r="AD11" s="3" t="str">
        <f t="shared" si="2"/>
        <v>Lock-T 175</v>
      </c>
      <c r="AE11" s="3">
        <f t="shared" si="3"/>
        <v>25</v>
      </c>
      <c r="AF11" s="3">
        <f t="shared" si="4"/>
        <v>3</v>
      </c>
      <c r="AG11">
        <f t="shared" si="5"/>
        <v>12</v>
      </c>
      <c r="AH11" s="76">
        <v>7</v>
      </c>
      <c r="AI11" t="s">
        <v>281</v>
      </c>
      <c r="AJ11" t="s">
        <v>325</v>
      </c>
      <c r="AL11" s="228">
        <v>2</v>
      </c>
      <c r="AP11" s="241">
        <v>4</v>
      </c>
      <c r="AR11">
        <v>2</v>
      </c>
      <c r="AV11">
        <v>12</v>
      </c>
      <c r="AW11" t="str">
        <f>IF('LOCK-T'!H104=240,Data!AA16,IF('LOCK-T'!H104=265,Data!AA19,IF('LOCK-T'!H104=290,Data!AA22,)))</f>
        <v>LOCK-T 125 290</v>
      </c>
      <c r="BA11" t="str">
        <f>CONCATENATE(AQ9," x ",AQ2)</f>
        <v>1 x LOCKSTOP50</v>
      </c>
      <c r="BB11" t="s">
        <v>346</v>
      </c>
      <c r="BC11" s="2">
        <v>1</v>
      </c>
      <c r="BJ11">
        <v>1</v>
      </c>
      <c r="BK11">
        <v>40</v>
      </c>
      <c r="EC11" s="291"/>
    </row>
    <row r="12" spans="2:133" ht="20.100000000000001" customHeight="1" thickBot="1" x14ac:dyDescent="0.25">
      <c r="B12" s="291" t="s">
        <v>68</v>
      </c>
      <c r="C12" s="328">
        <v>355</v>
      </c>
      <c r="D12" s="329">
        <v>18.5</v>
      </c>
      <c r="E12" s="329">
        <v>2.5</v>
      </c>
      <c r="F12" s="329">
        <v>1.2</v>
      </c>
      <c r="G12" s="329">
        <v>3.5</v>
      </c>
      <c r="H12" s="249" t="s">
        <v>498</v>
      </c>
      <c r="I12" s="286" t="s">
        <v>126</v>
      </c>
      <c r="J12" s="96">
        <v>290</v>
      </c>
      <c r="K12" s="96">
        <v>25</v>
      </c>
      <c r="L12" s="96">
        <v>1945</v>
      </c>
      <c r="M12" s="96">
        <v>9</v>
      </c>
      <c r="N12" s="96">
        <v>1</v>
      </c>
      <c r="O12" s="96">
        <f>O8</f>
        <v>1</v>
      </c>
      <c r="P12" s="92">
        <v>36</v>
      </c>
      <c r="Q12" s="96">
        <v>24</v>
      </c>
      <c r="R12" s="108">
        <v>2.8</v>
      </c>
      <c r="S12" s="108">
        <v>0.55000000000000004</v>
      </c>
      <c r="T12" s="123">
        <v>22</v>
      </c>
      <c r="U12" s="95" t="s">
        <v>126</v>
      </c>
      <c r="W12" s="3"/>
      <c r="Y12" s="191"/>
      <c r="Z12" s="191" t="str">
        <f t="shared" si="0"/>
        <v>LOCKT25290</v>
      </c>
      <c r="AA12" s="239" t="str">
        <f t="shared" si="1"/>
        <v>LOCK-T 75 215</v>
      </c>
      <c r="AB12" s="3">
        <v>75</v>
      </c>
      <c r="AC12" s="3">
        <v>215</v>
      </c>
      <c r="AD12" s="3" t="str">
        <f t="shared" si="2"/>
        <v>Lock-T 215</v>
      </c>
      <c r="AE12" s="3">
        <f t="shared" si="3"/>
        <v>25</v>
      </c>
      <c r="AF12" s="3">
        <f t="shared" si="4"/>
        <v>3</v>
      </c>
      <c r="AG12">
        <f t="shared" si="5"/>
        <v>18</v>
      </c>
      <c r="AH12" s="76">
        <v>8</v>
      </c>
      <c r="AI12" t="s">
        <v>281</v>
      </c>
      <c r="AJ12" t="s">
        <v>325</v>
      </c>
      <c r="AL12" s="228">
        <v>2</v>
      </c>
      <c r="AP12" s="241">
        <v>4</v>
      </c>
      <c r="AR12">
        <v>2</v>
      </c>
      <c r="AV12">
        <v>12</v>
      </c>
      <c r="BA12" t="str">
        <f>CONCATENATE(AQ10," x ",AQ2)</f>
        <v>2 x LOCKSTOP50</v>
      </c>
      <c r="BB12" t="s">
        <v>346</v>
      </c>
      <c r="BC12" s="2">
        <v>2</v>
      </c>
      <c r="BJ12">
        <v>2</v>
      </c>
      <c r="BK12">
        <v>40</v>
      </c>
      <c r="EC12" s="291" t="s">
        <v>68</v>
      </c>
    </row>
    <row r="13" spans="2:133" ht="20.100000000000001" customHeight="1" thickBot="1" x14ac:dyDescent="0.25">
      <c r="B13" s="291" t="s">
        <v>70</v>
      </c>
      <c r="C13" s="147">
        <v>355</v>
      </c>
      <c r="D13" s="110">
        <v>20</v>
      </c>
      <c r="E13" s="110">
        <v>2.5</v>
      </c>
      <c r="F13" s="110">
        <v>1.2</v>
      </c>
      <c r="G13" s="110">
        <v>3.5</v>
      </c>
      <c r="H13" s="249" t="s">
        <v>498</v>
      </c>
      <c r="Y13" s="191"/>
      <c r="Z13" s="191" t="str">
        <f t="shared" si="0"/>
        <v>LOCKT0</v>
      </c>
      <c r="AA13" s="3" t="str">
        <f t="shared" si="1"/>
        <v>LOCK-T 100 215</v>
      </c>
      <c r="AB13" s="3">
        <v>100</v>
      </c>
      <c r="AC13" s="3">
        <v>215</v>
      </c>
      <c r="AD13" s="3" t="str">
        <f t="shared" si="2"/>
        <v>Lock-T 215</v>
      </c>
      <c r="AE13" s="3">
        <f t="shared" si="3"/>
        <v>25</v>
      </c>
      <c r="AF13" s="3">
        <f t="shared" si="4"/>
        <v>4</v>
      </c>
      <c r="AG13">
        <f t="shared" si="5"/>
        <v>24</v>
      </c>
      <c r="AH13" s="76">
        <v>8</v>
      </c>
      <c r="AI13" t="s">
        <v>281</v>
      </c>
      <c r="AJ13" t="s">
        <v>326</v>
      </c>
      <c r="AL13" s="228">
        <v>3</v>
      </c>
      <c r="AP13" s="241">
        <v>4</v>
      </c>
      <c r="AS13">
        <v>2</v>
      </c>
      <c r="AV13">
        <v>8</v>
      </c>
      <c r="BA13" t="str">
        <f>CONCATENATE(AR11," x ",AR2)</f>
        <v>2 x LOCKSTOP75</v>
      </c>
      <c r="BB13" t="s">
        <v>347</v>
      </c>
      <c r="BC13" s="2">
        <v>2</v>
      </c>
      <c r="BJ13">
        <v>2</v>
      </c>
      <c r="BK13">
        <v>20</v>
      </c>
      <c r="EC13" s="291" t="s">
        <v>70</v>
      </c>
    </row>
    <row r="14" spans="2:133" ht="20.100000000000001" customHeight="1" x14ac:dyDescent="0.2">
      <c r="B14" s="291" t="s">
        <v>71</v>
      </c>
      <c r="C14" s="328">
        <v>365</v>
      </c>
      <c r="D14" s="329">
        <v>21.5</v>
      </c>
      <c r="E14" s="329">
        <v>2.5</v>
      </c>
      <c r="F14" s="329">
        <v>1.2</v>
      </c>
      <c r="G14" s="329">
        <v>3.5</v>
      </c>
      <c r="H14" s="249" t="s">
        <v>498</v>
      </c>
      <c r="I14" s="287" t="s">
        <v>67</v>
      </c>
      <c r="J14" s="31">
        <v>100</v>
      </c>
      <c r="K14" s="31">
        <v>210</v>
      </c>
      <c r="L14" s="31">
        <v>614</v>
      </c>
      <c r="M14" s="31">
        <v>8</v>
      </c>
      <c r="N14" s="97">
        <f>_xlfn.FLOOR.MATH((K14-20)/25)</f>
        <v>7</v>
      </c>
      <c r="O14" s="31">
        <v>1</v>
      </c>
      <c r="P14" s="80">
        <v>12.5</v>
      </c>
      <c r="Q14" s="81">
        <v>130</v>
      </c>
      <c r="R14" s="81">
        <v>34.5</v>
      </c>
      <c r="S14" s="81">
        <v>0.14000000000000001</v>
      </c>
      <c r="T14" s="163">
        <v>20</v>
      </c>
      <c r="U14" s="161" t="s">
        <v>67</v>
      </c>
      <c r="Y14" s="191"/>
      <c r="Z14" s="191" t="str">
        <f t="shared" si="0"/>
        <v>LOCKT210100</v>
      </c>
      <c r="AA14" s="239" t="str">
        <f t="shared" si="1"/>
        <v>LOCK-T 75 240</v>
      </c>
      <c r="AB14" s="3">
        <v>75</v>
      </c>
      <c r="AC14" s="3">
        <v>240</v>
      </c>
      <c r="AD14" s="3" t="str">
        <f t="shared" si="2"/>
        <v>Lock-T 240</v>
      </c>
      <c r="AE14" s="3">
        <f t="shared" si="3"/>
        <v>25</v>
      </c>
      <c r="AF14" s="3">
        <f t="shared" si="4"/>
        <v>3</v>
      </c>
      <c r="AG14">
        <f t="shared" si="5"/>
        <v>21</v>
      </c>
      <c r="AH14" s="76">
        <v>8</v>
      </c>
      <c r="AI14" t="s">
        <v>281</v>
      </c>
      <c r="AJ14" t="s">
        <v>326</v>
      </c>
      <c r="AK14" s="237" t="s">
        <v>341</v>
      </c>
      <c r="AL14" s="228">
        <v>2</v>
      </c>
      <c r="AP14" s="241">
        <v>4</v>
      </c>
      <c r="AR14">
        <v>2</v>
      </c>
      <c r="AU14" s="237" t="s">
        <v>357</v>
      </c>
      <c r="AV14">
        <v>20</v>
      </c>
      <c r="BA14" t="str">
        <f>CONCATENATE(AS13," x ",AS2)</f>
        <v>2 x LOCKSTOP100</v>
      </c>
      <c r="BB14" t="s">
        <v>348</v>
      </c>
      <c r="BC14" s="2">
        <v>2</v>
      </c>
      <c r="BJ14">
        <v>2</v>
      </c>
      <c r="BK14">
        <v>20</v>
      </c>
      <c r="EC14" s="291" t="s">
        <v>71</v>
      </c>
    </row>
    <row r="15" spans="2:133" ht="20.100000000000001" customHeight="1" thickBot="1" x14ac:dyDescent="0.25">
      <c r="B15" s="291" t="s">
        <v>72</v>
      </c>
      <c r="C15" s="328">
        <v>385</v>
      </c>
      <c r="D15" s="329">
        <v>23.5</v>
      </c>
      <c r="E15" s="329">
        <v>2.5</v>
      </c>
      <c r="F15" s="329">
        <v>1.2</v>
      </c>
      <c r="G15" s="329">
        <v>3.5</v>
      </c>
      <c r="H15" s="249" t="s">
        <v>498</v>
      </c>
      <c r="I15" s="288" t="s">
        <v>69</v>
      </c>
      <c r="J15" s="35">
        <v>135</v>
      </c>
      <c r="K15" s="35">
        <v>300</v>
      </c>
      <c r="L15" s="35">
        <v>924</v>
      </c>
      <c r="M15" s="35">
        <v>8</v>
      </c>
      <c r="N15" s="98">
        <f>_xlfn.FLOOR.MATH((K15-20)/25)</f>
        <v>11</v>
      </c>
      <c r="O15" s="35">
        <v>1</v>
      </c>
      <c r="P15" s="82">
        <v>15.3</v>
      </c>
      <c r="Q15" s="82">
        <v>240</v>
      </c>
      <c r="R15" s="82">
        <v>32.299999999999997</v>
      </c>
      <c r="S15" s="82">
        <v>0.16</v>
      </c>
      <c r="T15" s="164">
        <v>22</v>
      </c>
      <c r="U15" s="162" t="s">
        <v>69</v>
      </c>
      <c r="Y15" s="191"/>
      <c r="Z15" s="191" t="str">
        <f t="shared" si="0"/>
        <v>LOCKT300135</v>
      </c>
      <c r="AA15" s="3" t="str">
        <f t="shared" si="1"/>
        <v>LOCK-T 100 240</v>
      </c>
      <c r="AB15" s="3">
        <v>100</v>
      </c>
      <c r="AC15" s="3">
        <v>240</v>
      </c>
      <c r="AD15" s="3" t="str">
        <f t="shared" si="2"/>
        <v>Lock-T 240</v>
      </c>
      <c r="AE15" s="3">
        <f t="shared" si="3"/>
        <v>25</v>
      </c>
      <c r="AF15" s="3">
        <f t="shared" si="4"/>
        <v>4</v>
      </c>
      <c r="AG15">
        <f t="shared" si="5"/>
        <v>28</v>
      </c>
      <c r="AH15" s="76">
        <v>8</v>
      </c>
      <c r="AI15" t="s">
        <v>281</v>
      </c>
      <c r="AJ15" t="s">
        <v>326</v>
      </c>
      <c r="AK15" s="237" t="s">
        <v>341</v>
      </c>
      <c r="AL15" s="228">
        <v>3</v>
      </c>
      <c r="AP15" s="241">
        <v>4</v>
      </c>
      <c r="AS15">
        <v>2</v>
      </c>
      <c r="AU15" s="237" t="s">
        <v>357</v>
      </c>
      <c r="AV15">
        <v>10</v>
      </c>
      <c r="BA15" t="str">
        <f>CONCATENATE(AT16," x ",AT2)</f>
        <v>2 x LOCKSTOP125</v>
      </c>
      <c r="BB15" t="s">
        <v>349</v>
      </c>
      <c r="BC15" s="2">
        <v>2</v>
      </c>
      <c r="BJ15">
        <v>2</v>
      </c>
      <c r="BK15">
        <v>20</v>
      </c>
      <c r="EC15" s="291" t="s">
        <v>72</v>
      </c>
    </row>
    <row r="16" spans="2:133" ht="20.100000000000001" customHeight="1" x14ac:dyDescent="0.2">
      <c r="B16" s="291" t="s">
        <v>73</v>
      </c>
      <c r="C16" s="147">
        <v>390</v>
      </c>
      <c r="D16" s="110">
        <v>24</v>
      </c>
      <c r="E16" s="110">
        <v>2.5</v>
      </c>
      <c r="F16" s="110">
        <v>1.2</v>
      </c>
      <c r="G16" s="110">
        <v>3.5</v>
      </c>
      <c r="H16" s="249" t="s">
        <v>498</v>
      </c>
      <c r="Y16" s="191"/>
      <c r="Z16" s="191" t="str">
        <f t="shared" si="0"/>
        <v>LOCKT0</v>
      </c>
      <c r="AA16" s="3" t="str">
        <f t="shared" si="1"/>
        <v>LOCK-T 125 240</v>
      </c>
      <c r="AB16" s="3">
        <v>125</v>
      </c>
      <c r="AC16" s="3">
        <v>240</v>
      </c>
      <c r="AD16" s="3" t="str">
        <f t="shared" si="2"/>
        <v>Lock-T 240</v>
      </c>
      <c r="AE16" s="3">
        <f t="shared" si="3"/>
        <v>25</v>
      </c>
      <c r="AF16" s="3">
        <f t="shared" si="4"/>
        <v>5</v>
      </c>
      <c r="AG16">
        <f t="shared" si="5"/>
        <v>35</v>
      </c>
      <c r="AH16" s="76">
        <v>8</v>
      </c>
      <c r="AI16" t="s">
        <v>281</v>
      </c>
      <c r="AJ16" t="s">
        <v>326</v>
      </c>
      <c r="AK16" s="237" t="s">
        <v>341</v>
      </c>
      <c r="AL16" s="228">
        <v>4</v>
      </c>
      <c r="AP16" s="241">
        <v>4</v>
      </c>
      <c r="AT16">
        <v>2</v>
      </c>
      <c r="AU16" s="237" t="s">
        <v>357</v>
      </c>
      <c r="AV16">
        <v>10</v>
      </c>
      <c r="BA16" t="str">
        <f>CONCATENATE(1," x ",AS2)</f>
        <v>1 x LOCKSTOP100</v>
      </c>
      <c r="BB16" t="s">
        <v>348</v>
      </c>
      <c r="BC16" s="2">
        <v>2</v>
      </c>
      <c r="BJ16">
        <v>1</v>
      </c>
      <c r="BK16">
        <v>20</v>
      </c>
      <c r="EC16" s="291" t="s">
        <v>73</v>
      </c>
    </row>
    <row r="17" spans="2:133" ht="20.100000000000001" customHeight="1" x14ac:dyDescent="0.2">
      <c r="B17" s="291" t="s">
        <v>74</v>
      </c>
      <c r="C17" s="328">
        <v>390</v>
      </c>
      <c r="D17" s="329">
        <v>24.5</v>
      </c>
      <c r="E17" s="329">
        <v>2.5</v>
      </c>
      <c r="F17" s="329">
        <v>1.2</v>
      </c>
      <c r="G17" s="329">
        <v>3.5</v>
      </c>
      <c r="H17" s="249" t="s">
        <v>498</v>
      </c>
      <c r="Y17" s="191"/>
      <c r="Z17" s="191" t="str">
        <f t="shared" si="0"/>
        <v>LOCKT0</v>
      </c>
      <c r="AA17" s="239" t="str">
        <f t="shared" si="1"/>
        <v>LOCK-T 75 265</v>
      </c>
      <c r="AB17" s="3">
        <v>75</v>
      </c>
      <c r="AC17" s="3">
        <v>265</v>
      </c>
      <c r="AD17" s="3" t="str">
        <f t="shared" si="2"/>
        <v>Lock-T 265</v>
      </c>
      <c r="AE17" s="3">
        <f t="shared" si="3"/>
        <v>25</v>
      </c>
      <c r="AF17" s="3">
        <f t="shared" si="4"/>
        <v>3</v>
      </c>
      <c r="AG17">
        <f t="shared" si="5"/>
        <v>24</v>
      </c>
      <c r="AH17" s="76">
        <v>8</v>
      </c>
      <c r="AI17" t="s">
        <v>281</v>
      </c>
      <c r="AJ17" t="s">
        <v>326</v>
      </c>
      <c r="AK17" s="237" t="s">
        <v>341</v>
      </c>
      <c r="AL17" s="228">
        <v>2</v>
      </c>
      <c r="AP17" s="241">
        <v>4</v>
      </c>
      <c r="AR17">
        <v>2</v>
      </c>
      <c r="AU17" s="237" t="s">
        <v>357</v>
      </c>
      <c r="AV17">
        <v>20</v>
      </c>
      <c r="EC17" s="291" t="s">
        <v>74</v>
      </c>
    </row>
    <row r="18" spans="2:133" ht="20.100000000000001" customHeight="1" x14ac:dyDescent="0.2">
      <c r="B18" s="291" t="s">
        <v>75</v>
      </c>
      <c r="C18" s="328">
        <v>400</v>
      </c>
      <c r="D18" s="329">
        <v>24.5</v>
      </c>
      <c r="E18" s="329">
        <v>2.5</v>
      </c>
      <c r="F18" s="329">
        <v>1.2</v>
      </c>
      <c r="G18" s="329">
        <v>3.5</v>
      </c>
      <c r="H18" s="249" t="s">
        <v>498</v>
      </c>
      <c r="Y18" s="191"/>
      <c r="Z18" s="191" t="str">
        <f t="shared" si="0"/>
        <v>LOCKT0</v>
      </c>
      <c r="AA18" s="3" t="str">
        <f t="shared" si="1"/>
        <v>LOCK-T 100 265</v>
      </c>
      <c r="AB18" s="3">
        <v>100</v>
      </c>
      <c r="AC18" s="3">
        <v>265</v>
      </c>
      <c r="AD18" s="3" t="str">
        <f t="shared" si="2"/>
        <v>Lock-T 265</v>
      </c>
      <c r="AE18" s="3">
        <f t="shared" si="3"/>
        <v>25</v>
      </c>
      <c r="AF18" s="3">
        <f t="shared" si="4"/>
        <v>4</v>
      </c>
      <c r="AG18">
        <f t="shared" si="5"/>
        <v>32</v>
      </c>
      <c r="AH18" s="76">
        <v>8</v>
      </c>
      <c r="AI18" t="s">
        <v>281</v>
      </c>
      <c r="AJ18" t="s">
        <v>326</v>
      </c>
      <c r="AK18" s="237" t="s">
        <v>341</v>
      </c>
      <c r="AL18" s="228">
        <v>3</v>
      </c>
      <c r="AP18" s="241">
        <v>4</v>
      </c>
      <c r="AS18">
        <v>2</v>
      </c>
      <c r="AU18" s="237" t="s">
        <v>357</v>
      </c>
      <c r="AV18">
        <v>10</v>
      </c>
      <c r="EC18" s="291" t="s">
        <v>75</v>
      </c>
    </row>
    <row r="19" spans="2:133" ht="20.100000000000001" customHeight="1" x14ac:dyDescent="0.2">
      <c r="B19" s="291"/>
      <c r="C19" s="328"/>
      <c r="D19" s="329"/>
      <c r="E19" s="329"/>
      <c r="F19" s="329"/>
      <c r="G19" s="329"/>
      <c r="H19" s="249"/>
      <c r="Y19" s="191"/>
      <c r="Z19" s="191" t="str">
        <f t="shared" si="0"/>
        <v>LOCKT0</v>
      </c>
      <c r="AA19" s="3" t="str">
        <f t="shared" si="1"/>
        <v>LOCK-T 125 265</v>
      </c>
      <c r="AB19" s="3">
        <v>125</v>
      </c>
      <c r="AC19" s="3">
        <v>265</v>
      </c>
      <c r="AD19" s="3" t="str">
        <f t="shared" si="2"/>
        <v>Lock-T 265</v>
      </c>
      <c r="AE19" s="3">
        <f t="shared" si="3"/>
        <v>25</v>
      </c>
      <c r="AF19" s="3">
        <f t="shared" si="4"/>
        <v>5</v>
      </c>
      <c r="AG19">
        <f t="shared" si="5"/>
        <v>40</v>
      </c>
      <c r="AH19" s="76">
        <v>8</v>
      </c>
      <c r="AI19" t="s">
        <v>281</v>
      </c>
      <c r="AJ19" t="s">
        <v>326</v>
      </c>
      <c r="AK19" s="237" t="s">
        <v>341</v>
      </c>
      <c r="AL19" s="228">
        <v>4</v>
      </c>
      <c r="AP19" s="241">
        <v>4</v>
      </c>
      <c r="AT19">
        <v>2</v>
      </c>
      <c r="AU19" s="237" t="s">
        <v>357</v>
      </c>
      <c r="AV19">
        <v>10</v>
      </c>
      <c r="EC19" s="291"/>
    </row>
    <row r="20" spans="2:133" ht="20.100000000000001" customHeight="1" x14ac:dyDescent="0.2">
      <c r="B20" s="291" t="s">
        <v>76</v>
      </c>
      <c r="C20" s="147">
        <v>290</v>
      </c>
      <c r="D20" s="110">
        <v>16</v>
      </c>
      <c r="E20" s="110">
        <v>2</v>
      </c>
      <c r="F20" s="110">
        <f>2*0.4</f>
        <v>0.8</v>
      </c>
      <c r="G20" s="110">
        <v>3</v>
      </c>
      <c r="H20" s="249" t="s">
        <v>499</v>
      </c>
      <c r="Y20" s="191"/>
      <c r="Z20" s="191" t="str">
        <f t="shared" si="0"/>
        <v>LOCKT0</v>
      </c>
      <c r="AA20" s="239" t="str">
        <f t="shared" si="1"/>
        <v>LOCK-T 75 290</v>
      </c>
      <c r="AB20" s="3">
        <v>75</v>
      </c>
      <c r="AC20" s="3">
        <v>290</v>
      </c>
      <c r="AD20" s="3" t="str">
        <f t="shared" si="2"/>
        <v>Lock-T 290</v>
      </c>
      <c r="AE20" s="3">
        <f t="shared" si="3"/>
        <v>25</v>
      </c>
      <c r="AF20" s="3">
        <f t="shared" si="4"/>
        <v>3</v>
      </c>
      <c r="AG20">
        <f t="shared" si="5"/>
        <v>27</v>
      </c>
      <c r="AH20" s="76">
        <v>8</v>
      </c>
      <c r="AI20" t="s">
        <v>281</v>
      </c>
      <c r="AJ20" t="s">
        <v>326</v>
      </c>
      <c r="AK20" s="237" t="s">
        <v>341</v>
      </c>
      <c r="AL20" s="228">
        <v>2</v>
      </c>
      <c r="AP20" s="241">
        <v>4</v>
      </c>
      <c r="AR20">
        <v>2</v>
      </c>
      <c r="AU20" s="237" t="s">
        <v>357</v>
      </c>
      <c r="AV20">
        <v>20</v>
      </c>
      <c r="EC20" s="291" t="s">
        <v>76</v>
      </c>
    </row>
    <row r="21" spans="2:133" ht="20.100000000000001" customHeight="1" x14ac:dyDescent="0.2">
      <c r="B21" s="291" t="s">
        <v>77</v>
      </c>
      <c r="C21" s="328">
        <v>310</v>
      </c>
      <c r="D21" s="329">
        <v>17</v>
      </c>
      <c r="E21" s="329">
        <v>2.2000000000000002</v>
      </c>
      <c r="F21" s="110">
        <f t="shared" ref="F21:F31" si="7">2*0.4</f>
        <v>0.8</v>
      </c>
      <c r="G21" s="329">
        <v>3.2</v>
      </c>
      <c r="H21" s="249" t="s">
        <v>499</v>
      </c>
      <c r="R21" t="str">
        <f>I9</f>
        <v>Lock-T 215</v>
      </c>
      <c r="S21">
        <f>VLOOKUP(R21,Data!$I$4:$L$12,4,FALSE)</f>
        <v>1414</v>
      </c>
      <c r="Y21" s="191"/>
      <c r="Z21" s="191" t="str">
        <f t="shared" si="0"/>
        <v>LOCKT0</v>
      </c>
      <c r="AA21" s="3" t="str">
        <f t="shared" si="1"/>
        <v>LOCK-T 100 290</v>
      </c>
      <c r="AB21" s="3">
        <v>100</v>
      </c>
      <c r="AC21" s="3">
        <v>290</v>
      </c>
      <c r="AD21" s="3" t="str">
        <f t="shared" si="2"/>
        <v>Lock-T 290</v>
      </c>
      <c r="AE21" s="3">
        <f t="shared" si="3"/>
        <v>25</v>
      </c>
      <c r="AF21" s="3">
        <f t="shared" si="4"/>
        <v>4</v>
      </c>
      <c r="AG21">
        <f t="shared" si="5"/>
        <v>36</v>
      </c>
      <c r="AH21" s="76">
        <v>8</v>
      </c>
      <c r="AI21" t="s">
        <v>281</v>
      </c>
      <c r="AJ21" t="s">
        <v>326</v>
      </c>
      <c r="AK21" s="237" t="s">
        <v>341</v>
      </c>
      <c r="AL21" s="228">
        <v>3</v>
      </c>
      <c r="AP21" s="241">
        <v>4</v>
      </c>
      <c r="AS21">
        <v>2</v>
      </c>
      <c r="AU21" s="237" t="s">
        <v>357</v>
      </c>
      <c r="AV21">
        <v>10</v>
      </c>
      <c r="EC21" s="291" t="s">
        <v>77</v>
      </c>
    </row>
    <row r="22" spans="2:133" ht="20.100000000000001" customHeight="1" x14ac:dyDescent="0.2">
      <c r="B22" s="291" t="s">
        <v>78</v>
      </c>
      <c r="C22" s="328">
        <v>320</v>
      </c>
      <c r="D22" s="329">
        <v>18</v>
      </c>
      <c r="E22" s="329">
        <v>2.2000000000000002</v>
      </c>
      <c r="F22" s="110">
        <f t="shared" si="7"/>
        <v>0.8</v>
      </c>
      <c r="G22" s="329">
        <v>3.4</v>
      </c>
      <c r="H22" s="249" t="s">
        <v>499</v>
      </c>
      <c r="Y22" s="191"/>
      <c r="Z22" s="191" t="str">
        <f t="shared" si="0"/>
        <v>LOCKT0</v>
      </c>
      <c r="AA22" s="3" t="str">
        <f t="shared" si="1"/>
        <v>LOCK-T 125 290</v>
      </c>
      <c r="AB22" s="3">
        <v>125</v>
      </c>
      <c r="AC22" s="3">
        <v>290</v>
      </c>
      <c r="AD22" s="3" t="str">
        <f t="shared" si="2"/>
        <v>Lock-T 290</v>
      </c>
      <c r="AE22" s="3">
        <f t="shared" si="3"/>
        <v>25</v>
      </c>
      <c r="AF22" s="3">
        <f t="shared" si="4"/>
        <v>5</v>
      </c>
      <c r="AG22">
        <f t="shared" si="5"/>
        <v>45</v>
      </c>
      <c r="AH22" s="76">
        <v>8</v>
      </c>
      <c r="AI22" t="s">
        <v>281</v>
      </c>
      <c r="AJ22" t="s">
        <v>326</v>
      </c>
      <c r="AK22" s="237" t="s">
        <v>341</v>
      </c>
      <c r="AL22" s="228">
        <v>4</v>
      </c>
      <c r="AP22" s="241">
        <v>4</v>
      </c>
      <c r="AT22">
        <v>2</v>
      </c>
      <c r="AU22" s="237" t="s">
        <v>357</v>
      </c>
      <c r="AV22">
        <v>10</v>
      </c>
      <c r="EC22" s="291" t="s">
        <v>78</v>
      </c>
    </row>
    <row r="23" spans="2:133" ht="20.100000000000001" customHeight="1" x14ac:dyDescent="0.2">
      <c r="B23" s="291" t="s">
        <v>79</v>
      </c>
      <c r="C23" s="328">
        <v>330</v>
      </c>
      <c r="D23" s="329">
        <v>19</v>
      </c>
      <c r="E23" s="329">
        <v>2.2999999999999998</v>
      </c>
      <c r="F23" s="110">
        <f t="shared" si="7"/>
        <v>0.8</v>
      </c>
      <c r="G23" s="329">
        <v>3.6</v>
      </c>
      <c r="H23" s="249" t="s">
        <v>499</v>
      </c>
      <c r="R23">
        <f>6*17.5</f>
        <v>105</v>
      </c>
      <c r="Y23" s="191"/>
      <c r="Z23" s="191" t="str">
        <f t="shared" si="0"/>
        <v>LOCKT0</v>
      </c>
      <c r="AA23" s="3" t="str">
        <f>CONCATENATE("LOCKTFLOOR"," ",AC23)</f>
        <v>LOCKTFLOOR 100</v>
      </c>
      <c r="AB23" s="3">
        <v>1260</v>
      </c>
      <c r="AC23" s="3">
        <v>100</v>
      </c>
      <c r="AD23" s="3" t="str">
        <f>VLOOKUP(AC23,$J$14:$U$15,12,FALSE)</f>
        <v>Lock-T 100 FLOOR</v>
      </c>
      <c r="AE23" s="3">
        <f>VLOOKUP(AD23,$I$4:$K$15,3,FALSE)</f>
        <v>210</v>
      </c>
      <c r="AF23" s="3">
        <f t="shared" si="4"/>
        <v>6</v>
      </c>
      <c r="AG23">
        <f>VLOOKUP(AD23,$I$4:$M$15,5,FALSE)*AF23</f>
        <v>48</v>
      </c>
      <c r="AH23" s="76">
        <v>6</v>
      </c>
      <c r="AI23" t="s">
        <v>282</v>
      </c>
      <c r="EC23" s="291" t="s">
        <v>79</v>
      </c>
    </row>
    <row r="24" spans="2:133" ht="20.100000000000001" customHeight="1" x14ac:dyDescent="0.2">
      <c r="B24" s="291" t="s">
        <v>80</v>
      </c>
      <c r="C24" s="147">
        <v>340</v>
      </c>
      <c r="D24" s="110">
        <v>20</v>
      </c>
      <c r="E24" s="110">
        <v>2.4</v>
      </c>
      <c r="F24" s="110">
        <f t="shared" si="7"/>
        <v>0.8</v>
      </c>
      <c r="G24" s="110">
        <v>3.8</v>
      </c>
      <c r="H24" s="249" t="s">
        <v>499</v>
      </c>
      <c r="R24">
        <f>25*6</f>
        <v>150</v>
      </c>
      <c r="Y24" s="191"/>
      <c r="Z24" s="191" t="str">
        <f t="shared" si="0"/>
        <v>LOCKT0</v>
      </c>
      <c r="AA24" s="3" t="str">
        <f>CONCATENATE("LOCKTFLOOR"," ",AC24)</f>
        <v>LOCKTFLOOR 135</v>
      </c>
      <c r="AB24" s="3">
        <v>1200</v>
      </c>
      <c r="AC24" s="3">
        <v>135</v>
      </c>
      <c r="AD24" s="3" t="str">
        <f>VLOOKUP(AC24,$J$14:$U$15,12,FALSE)</f>
        <v>Lock-T 135 FLOOR</v>
      </c>
      <c r="AE24" s="3">
        <f>VLOOKUP(AD24,$I$4:$K$15,3,FALSE)</f>
        <v>300</v>
      </c>
      <c r="AF24" s="3">
        <f t="shared" si="4"/>
        <v>4</v>
      </c>
      <c r="AG24">
        <f>VLOOKUP(AD24,$I$4:$M$15,5,FALSE)*AF24</f>
        <v>32</v>
      </c>
      <c r="AH24" s="76">
        <v>6</v>
      </c>
      <c r="AI24" t="s">
        <v>282</v>
      </c>
      <c r="EC24" s="291" t="s">
        <v>80</v>
      </c>
    </row>
    <row r="25" spans="2:133" ht="20.100000000000001" customHeight="1" x14ac:dyDescent="0.2">
      <c r="B25" s="291" t="s">
        <v>0</v>
      </c>
      <c r="C25" s="328">
        <v>350</v>
      </c>
      <c r="D25" s="329">
        <v>21</v>
      </c>
      <c r="E25" s="329">
        <v>2.5</v>
      </c>
      <c r="F25" s="110">
        <f t="shared" si="7"/>
        <v>0.8</v>
      </c>
      <c r="G25" s="329">
        <v>4</v>
      </c>
      <c r="H25" s="249" t="s">
        <v>499</v>
      </c>
      <c r="I25" s="2"/>
      <c r="J25" s="2"/>
      <c r="K25" s="2"/>
      <c r="L25" s="2"/>
      <c r="EC25" s="291" t="s">
        <v>0</v>
      </c>
    </row>
    <row r="26" spans="2:133" ht="20.100000000000001" customHeight="1" x14ac:dyDescent="0.2">
      <c r="B26" s="291" t="s">
        <v>81</v>
      </c>
      <c r="C26" s="328">
        <v>360</v>
      </c>
      <c r="D26" s="329">
        <v>22</v>
      </c>
      <c r="E26" s="329">
        <v>2.5</v>
      </c>
      <c r="F26" s="110">
        <f t="shared" si="7"/>
        <v>0.8</v>
      </c>
      <c r="G26" s="329">
        <v>4</v>
      </c>
      <c r="H26" s="249" t="s">
        <v>499</v>
      </c>
      <c r="I26" s="2"/>
      <c r="J26" s="41"/>
      <c r="K26" s="41"/>
      <c r="L26" s="41"/>
      <c r="EC26" s="291" t="s">
        <v>81</v>
      </c>
    </row>
    <row r="27" spans="2:133" ht="20.100000000000001" customHeight="1" x14ac:dyDescent="0.2">
      <c r="B27" s="291" t="s">
        <v>82</v>
      </c>
      <c r="C27" s="328">
        <v>380</v>
      </c>
      <c r="D27" s="329">
        <v>24</v>
      </c>
      <c r="E27" s="329">
        <v>2.7</v>
      </c>
      <c r="F27" s="110">
        <f t="shared" si="7"/>
        <v>0.8</v>
      </c>
      <c r="G27" s="329">
        <v>4</v>
      </c>
      <c r="H27" s="249" t="s">
        <v>499</v>
      </c>
      <c r="I27" s="2"/>
      <c r="J27" s="41"/>
      <c r="K27" s="41"/>
      <c r="L27" s="41"/>
      <c r="EC27" s="291" t="s">
        <v>82</v>
      </c>
    </row>
    <row r="28" spans="2:133" ht="20.100000000000001" customHeight="1" x14ac:dyDescent="0.2">
      <c r="B28" s="291" t="s">
        <v>83</v>
      </c>
      <c r="C28" s="328">
        <v>390</v>
      </c>
      <c r="D28" s="329">
        <v>25</v>
      </c>
      <c r="E28" s="329">
        <v>2.7</v>
      </c>
      <c r="F28" s="110">
        <f t="shared" si="7"/>
        <v>0.8</v>
      </c>
      <c r="G28" s="329">
        <v>4</v>
      </c>
      <c r="H28" s="249" t="s">
        <v>499</v>
      </c>
      <c r="I28" s="2"/>
      <c r="J28" s="41"/>
      <c r="K28" s="41"/>
      <c r="L28" s="41"/>
      <c r="EC28" s="291" t="s">
        <v>83</v>
      </c>
    </row>
    <row r="29" spans="2:133" ht="20.100000000000001" customHeight="1" x14ac:dyDescent="0.2">
      <c r="B29" s="291" t="s">
        <v>84</v>
      </c>
      <c r="C29" s="147">
        <v>400</v>
      </c>
      <c r="D29" s="110">
        <v>27</v>
      </c>
      <c r="E29" s="110">
        <v>2.8</v>
      </c>
      <c r="F29" s="110">
        <f t="shared" si="7"/>
        <v>0.8</v>
      </c>
      <c r="G29" s="110">
        <v>4</v>
      </c>
      <c r="H29" s="249" t="s">
        <v>499</v>
      </c>
      <c r="I29" s="2"/>
      <c r="J29" s="2"/>
      <c r="K29" s="2"/>
      <c r="L29" s="2"/>
      <c r="EC29" s="291" t="s">
        <v>84</v>
      </c>
    </row>
    <row r="30" spans="2:133" ht="20.100000000000001" customHeight="1" x14ac:dyDescent="0.2">
      <c r="B30" s="291" t="s">
        <v>85</v>
      </c>
      <c r="C30" s="328">
        <v>410</v>
      </c>
      <c r="D30" s="329">
        <v>29</v>
      </c>
      <c r="E30" s="329">
        <v>2.9</v>
      </c>
      <c r="F30" s="110">
        <f t="shared" si="7"/>
        <v>0.8</v>
      </c>
      <c r="G30" s="329">
        <v>4</v>
      </c>
      <c r="H30" s="249" t="s">
        <v>499</v>
      </c>
      <c r="AB30" t="s">
        <v>375</v>
      </c>
      <c r="AC30" t="s">
        <v>375</v>
      </c>
      <c r="EC30" s="291" t="s">
        <v>85</v>
      </c>
    </row>
    <row r="31" spans="2:133" ht="20.100000000000001" customHeight="1" x14ac:dyDescent="0.2">
      <c r="B31" s="291" t="s">
        <v>5</v>
      </c>
      <c r="C31" s="328">
        <v>430</v>
      </c>
      <c r="D31" s="329">
        <v>30</v>
      </c>
      <c r="E31" s="329">
        <v>3</v>
      </c>
      <c r="F31" s="110">
        <f t="shared" si="7"/>
        <v>0.8</v>
      </c>
      <c r="G31" s="329">
        <v>4</v>
      </c>
      <c r="H31" s="249" t="s">
        <v>499</v>
      </c>
      <c r="J31" s="2"/>
      <c r="K31" s="2"/>
      <c r="L31" s="2"/>
      <c r="AB31" s="176" t="s">
        <v>376</v>
      </c>
      <c r="AC31" t="s">
        <v>377</v>
      </c>
      <c r="EC31" s="291" t="s">
        <v>5</v>
      </c>
    </row>
    <row r="32" spans="2:133" ht="20.100000000000001" customHeight="1" x14ac:dyDescent="0.2">
      <c r="B32" s="291"/>
      <c r="C32" s="328"/>
      <c r="D32" s="329"/>
      <c r="E32" s="329"/>
      <c r="F32" s="329"/>
      <c r="G32" s="329"/>
      <c r="H32" s="249"/>
      <c r="I32" s="2"/>
      <c r="AA32" t="s">
        <v>356</v>
      </c>
      <c r="AB32">
        <v>0</v>
      </c>
      <c r="AC32">
        <v>0</v>
      </c>
      <c r="EC32" s="291"/>
    </row>
    <row r="33" spans="2:133" ht="20.100000000000001" customHeight="1" x14ac:dyDescent="0.2">
      <c r="B33" s="291" t="s">
        <v>2</v>
      </c>
      <c r="C33" s="328">
        <v>480</v>
      </c>
      <c r="D33" s="329">
        <v>35</v>
      </c>
      <c r="E33" s="329">
        <v>2.2000000000000002</v>
      </c>
      <c r="F33" s="329">
        <f>2*0.8</f>
        <v>1.6</v>
      </c>
      <c r="G33" s="329">
        <v>4.2</v>
      </c>
      <c r="H33" s="169"/>
      <c r="I33" s="2"/>
      <c r="AA33" t="s">
        <v>358</v>
      </c>
      <c r="AB33" s="228">
        <v>1</v>
      </c>
      <c r="AC33">
        <v>1</v>
      </c>
      <c r="EC33" s="291" t="s">
        <v>2</v>
      </c>
    </row>
    <row r="34" spans="2:133" ht="20.100000000000001" customHeight="1" thickBot="1" x14ac:dyDescent="0.25">
      <c r="B34" s="291" t="s">
        <v>6</v>
      </c>
      <c r="C34" s="328">
        <v>350</v>
      </c>
      <c r="D34" s="329">
        <v>24</v>
      </c>
      <c r="E34" s="329">
        <v>2.5</v>
      </c>
      <c r="F34" s="110">
        <f>2*0.5</f>
        <v>1</v>
      </c>
      <c r="G34" s="329">
        <v>3.5</v>
      </c>
      <c r="H34" s="169"/>
      <c r="I34" s="425" t="s">
        <v>163</v>
      </c>
      <c r="J34" s="425"/>
      <c r="K34" s="425"/>
      <c r="L34" s="425"/>
      <c r="M34" s="425"/>
      <c r="N34" s="425"/>
      <c r="O34" s="425"/>
      <c r="AA34" t="s">
        <v>359</v>
      </c>
      <c r="AB34" s="228">
        <v>1</v>
      </c>
      <c r="AC34">
        <v>1</v>
      </c>
      <c r="EC34" s="291"/>
    </row>
    <row r="35" spans="2:133" ht="20.100000000000001" customHeight="1" thickBot="1" x14ac:dyDescent="0.25">
      <c r="B35" s="248"/>
      <c r="E35" s="330"/>
      <c r="F35" s="330"/>
      <c r="H35" s="249"/>
      <c r="I35" s="289" t="s">
        <v>162</v>
      </c>
      <c r="J35" s="118">
        <v>1</v>
      </c>
      <c r="K35" s="118">
        <v>2</v>
      </c>
      <c r="L35" s="118">
        <v>3</v>
      </c>
      <c r="M35" s="118">
        <v>4</v>
      </c>
      <c r="N35" s="118">
        <v>5</v>
      </c>
      <c r="O35" s="119">
        <v>6</v>
      </c>
      <c r="AA35" t="s">
        <v>360</v>
      </c>
      <c r="AB35" s="228">
        <v>1</v>
      </c>
      <c r="AC35">
        <v>1</v>
      </c>
      <c r="EC35" s="248"/>
    </row>
    <row r="36" spans="2:133" ht="20.100000000000001" customHeight="1" x14ac:dyDescent="0.2">
      <c r="B36" s="295" t="s">
        <v>492</v>
      </c>
      <c r="C36" s="295">
        <v>530</v>
      </c>
      <c r="D36" s="296">
        <v>23</v>
      </c>
      <c r="E36" s="296">
        <v>8</v>
      </c>
      <c r="F36" s="296">
        <v>1.2</v>
      </c>
      <c r="G36" s="296">
        <v>3</v>
      </c>
      <c r="H36" s="298"/>
      <c r="I36" s="283" t="s">
        <v>56</v>
      </c>
      <c r="J36" s="115">
        <v>0.7</v>
      </c>
      <c r="K36" s="115">
        <v>1.8</v>
      </c>
      <c r="L36" s="115">
        <v>3.1</v>
      </c>
      <c r="M36" s="115">
        <v>4.8</v>
      </c>
      <c r="N36" s="115">
        <v>6.6</v>
      </c>
      <c r="O36" s="116">
        <v>8.6999999999999993</v>
      </c>
      <c r="AA36" t="s">
        <v>361</v>
      </c>
      <c r="AB36" s="228">
        <v>1</v>
      </c>
      <c r="AC36">
        <v>1</v>
      </c>
      <c r="EC36" s="291" t="s">
        <v>492</v>
      </c>
    </row>
    <row r="37" spans="2:133" ht="20.100000000000001" customHeight="1" x14ac:dyDescent="0.2">
      <c r="B37" s="295" t="s">
        <v>493</v>
      </c>
      <c r="C37" s="295"/>
      <c r="D37" s="296"/>
      <c r="E37" s="296"/>
      <c r="F37" s="296"/>
      <c r="G37" s="296"/>
      <c r="H37" s="298"/>
      <c r="I37" s="284" t="s">
        <v>58</v>
      </c>
      <c r="J37" s="78">
        <v>1.3</v>
      </c>
      <c r="K37" s="78">
        <v>2.8</v>
      </c>
      <c r="L37" s="78">
        <v>4.8</v>
      </c>
      <c r="M37" s="78">
        <v>7.1</v>
      </c>
      <c r="N37" s="78">
        <v>9.6999999999999993</v>
      </c>
      <c r="O37" s="112">
        <v>12.6</v>
      </c>
      <c r="AA37" t="s">
        <v>362</v>
      </c>
      <c r="AB37" s="228">
        <v>1</v>
      </c>
      <c r="AC37">
        <v>1</v>
      </c>
      <c r="BL37" s="248"/>
      <c r="EC37" s="291" t="s">
        <v>493</v>
      </c>
    </row>
    <row r="38" spans="2:133" ht="20.100000000000001" customHeight="1" x14ac:dyDescent="0.2">
      <c r="B38" s="295" t="s">
        <v>494</v>
      </c>
      <c r="C38" s="295"/>
      <c r="D38" s="296"/>
      <c r="E38" s="296"/>
      <c r="F38" s="296"/>
      <c r="G38" s="296"/>
      <c r="H38" s="298"/>
      <c r="I38" s="284" t="s">
        <v>59</v>
      </c>
      <c r="J38" s="78">
        <v>2</v>
      </c>
      <c r="K38" s="78">
        <v>4.2</v>
      </c>
      <c r="L38" s="78">
        <v>6.9</v>
      </c>
      <c r="M38" s="78">
        <v>9.9</v>
      </c>
      <c r="N38" s="78">
        <v>12.3</v>
      </c>
      <c r="O38" s="112">
        <v>17</v>
      </c>
      <c r="P38" s="110"/>
      <c r="Q38" s="110"/>
      <c r="R38" s="110"/>
      <c r="AA38" t="s">
        <v>363</v>
      </c>
      <c r="AB38" s="228">
        <v>1</v>
      </c>
      <c r="AC38">
        <v>1</v>
      </c>
      <c r="BL38" s="248"/>
      <c r="EC38" s="291" t="s">
        <v>494</v>
      </c>
    </row>
    <row r="39" spans="2:133" ht="20.100000000000001" customHeight="1" x14ac:dyDescent="0.2">
      <c r="B39" s="295" t="s">
        <v>495</v>
      </c>
      <c r="C39" s="295"/>
      <c r="D39" s="296"/>
      <c r="E39" s="296"/>
      <c r="F39" s="296"/>
      <c r="G39" s="296"/>
      <c r="H39" s="298"/>
      <c r="I39" s="284" t="s">
        <v>61</v>
      </c>
      <c r="J39" s="78">
        <v>1.2</v>
      </c>
      <c r="K39" s="78">
        <v>2.7</v>
      </c>
      <c r="L39" s="78">
        <v>4.5</v>
      </c>
      <c r="M39" s="78">
        <v>6.7</v>
      </c>
      <c r="N39" s="78">
        <v>9.1999999999999993</v>
      </c>
      <c r="O39" s="112">
        <v>12.1</v>
      </c>
      <c r="P39" s="110"/>
      <c r="Q39" s="110"/>
      <c r="R39" s="110"/>
      <c r="AA39" t="s">
        <v>364</v>
      </c>
      <c r="AB39" s="228">
        <v>2</v>
      </c>
      <c r="AC39">
        <v>1</v>
      </c>
      <c r="BL39" s="248"/>
      <c r="EC39" s="291" t="s">
        <v>495</v>
      </c>
    </row>
    <row r="40" spans="2:133" ht="19.5" customHeight="1" x14ac:dyDescent="0.2">
      <c r="B40" s="295" t="s">
        <v>496</v>
      </c>
      <c r="C40" s="295"/>
      <c r="D40" s="296"/>
      <c r="E40" s="296"/>
      <c r="F40" s="296"/>
      <c r="G40" s="296"/>
      <c r="H40" s="298"/>
      <c r="I40" s="284" t="s">
        <v>63</v>
      </c>
      <c r="J40" s="78">
        <v>1.8</v>
      </c>
      <c r="K40" s="78">
        <v>4</v>
      </c>
      <c r="L40" s="78">
        <v>6.5</v>
      </c>
      <c r="M40" s="78">
        <v>9.3000000000000007</v>
      </c>
      <c r="N40" s="78">
        <v>12.6</v>
      </c>
      <c r="O40" s="112">
        <v>16.2</v>
      </c>
      <c r="P40" s="110"/>
      <c r="Q40" s="110"/>
      <c r="R40" s="110"/>
      <c r="AA40" t="s">
        <v>365</v>
      </c>
      <c r="AB40" s="228">
        <v>2</v>
      </c>
      <c r="AC40">
        <v>1</v>
      </c>
      <c r="BL40" s="248"/>
      <c r="EC40" s="291" t="s">
        <v>496</v>
      </c>
    </row>
    <row r="41" spans="2:133" ht="20.100000000000001" customHeight="1" x14ac:dyDescent="0.2">
      <c r="B41" s="291"/>
      <c r="H41" s="249"/>
      <c r="I41" s="284" t="s">
        <v>65</v>
      </c>
      <c r="J41" s="78">
        <v>2.9</v>
      </c>
      <c r="K41" s="78">
        <v>6.1</v>
      </c>
      <c r="L41" s="78">
        <v>9.6</v>
      </c>
      <c r="M41" s="78">
        <v>13.4</v>
      </c>
      <c r="N41" s="78">
        <v>17.7</v>
      </c>
      <c r="O41" s="112">
        <v>22.4</v>
      </c>
      <c r="P41" s="110"/>
      <c r="Q41" s="110"/>
      <c r="R41" s="110"/>
      <c r="AA41" t="s">
        <v>366</v>
      </c>
      <c r="AB41" s="228">
        <v>3</v>
      </c>
      <c r="AC41">
        <v>2</v>
      </c>
    </row>
    <row r="42" spans="2:133" ht="20.100000000000001" customHeight="1" x14ac:dyDescent="0.2">
      <c r="B42" s="426" t="str">
        <f>Translation!B16</f>
        <v>Para tornillos de fijación sobre el elemento principal y/o secundario, con densidad característica ρk≤420 kg/m3, el pre-agujero no es obligatorio. Para viga principal y/o secundaria con densidad característica ρk&gt;420 kg/m3, el pre-agujero es obligatorio. Para tornillos en pilares, el pre-agujero siempre es obligatorio.</v>
      </c>
      <c r="C42" s="427"/>
      <c r="D42" s="427"/>
      <c r="E42" s="427"/>
      <c r="F42" s="427"/>
      <c r="G42" s="427"/>
      <c r="H42" s="428"/>
      <c r="I42" s="284" t="s">
        <v>124</v>
      </c>
      <c r="J42" s="78">
        <v>3.5</v>
      </c>
      <c r="K42" s="78">
        <v>7.1</v>
      </c>
      <c r="L42" s="78">
        <v>11.1</v>
      </c>
      <c r="M42" s="78">
        <v>15.4</v>
      </c>
      <c r="N42" s="78">
        <v>20.100000000000001</v>
      </c>
      <c r="O42" s="112">
        <v>25.3</v>
      </c>
      <c r="P42" s="110"/>
      <c r="Q42" s="110"/>
      <c r="R42" s="110"/>
      <c r="AA42" t="s">
        <v>367</v>
      </c>
      <c r="AB42" s="228">
        <v>2</v>
      </c>
      <c r="AC42">
        <v>1</v>
      </c>
    </row>
    <row r="43" spans="2:133" ht="20.100000000000001" customHeight="1" x14ac:dyDescent="0.2">
      <c r="B43" s="426"/>
      <c r="C43" s="427"/>
      <c r="D43" s="427"/>
      <c r="E43" s="427"/>
      <c r="F43" s="427"/>
      <c r="G43" s="427"/>
      <c r="H43" s="428"/>
      <c r="I43" s="284" t="s">
        <v>125</v>
      </c>
      <c r="J43" s="78">
        <v>4.2</v>
      </c>
      <c r="K43" s="78">
        <v>8.5</v>
      </c>
      <c r="L43" s="78">
        <v>13.1</v>
      </c>
      <c r="M43" s="78">
        <v>18.100000000000001</v>
      </c>
      <c r="N43" s="78">
        <v>23.4</v>
      </c>
      <c r="O43" s="112">
        <v>29.3</v>
      </c>
      <c r="P43" s="110"/>
      <c r="Q43" s="110"/>
      <c r="R43" s="110"/>
      <c r="AA43" t="s">
        <v>354</v>
      </c>
      <c r="AB43" s="228">
        <v>3</v>
      </c>
      <c r="AC43">
        <v>2</v>
      </c>
    </row>
    <row r="44" spans="2:133" ht="20.100000000000001" customHeight="1" thickBot="1" x14ac:dyDescent="0.25">
      <c r="B44" s="429"/>
      <c r="C44" s="430"/>
      <c r="D44" s="430"/>
      <c r="E44" s="430"/>
      <c r="F44" s="430"/>
      <c r="G44" s="430"/>
      <c r="H44" s="431"/>
      <c r="I44" s="288" t="s">
        <v>126</v>
      </c>
      <c r="J44" s="111">
        <v>4.9000000000000004</v>
      </c>
      <c r="K44" s="111">
        <v>10</v>
      </c>
      <c r="L44" s="111">
        <v>15.3</v>
      </c>
      <c r="M44" s="111">
        <v>20.9</v>
      </c>
      <c r="N44" s="111">
        <v>26.9</v>
      </c>
      <c r="O44" s="113">
        <v>33.4</v>
      </c>
      <c r="P44" s="110"/>
      <c r="Q44" s="110"/>
      <c r="R44" s="110"/>
      <c r="AA44" t="s">
        <v>368</v>
      </c>
      <c r="AB44" s="228">
        <v>4</v>
      </c>
      <c r="AC44">
        <v>2</v>
      </c>
    </row>
    <row r="45" spans="2:133" ht="20.100000000000001" customHeight="1" x14ac:dyDescent="0.2">
      <c r="I45" s="30" t="s">
        <v>67</v>
      </c>
      <c r="J45" s="165">
        <v>7.1</v>
      </c>
      <c r="K45" s="165">
        <v>15.4</v>
      </c>
      <c r="L45" s="165">
        <v>23.6</v>
      </c>
      <c r="M45" s="165">
        <v>31.7</v>
      </c>
      <c r="N45" s="165">
        <v>39.700000000000003</v>
      </c>
      <c r="O45" s="112">
        <v>47.8</v>
      </c>
      <c r="P45" s="110"/>
      <c r="Q45" s="110"/>
      <c r="R45" s="110"/>
      <c r="AA45" t="s">
        <v>369</v>
      </c>
      <c r="AB45" s="228">
        <v>2</v>
      </c>
      <c r="AC45">
        <v>1</v>
      </c>
    </row>
    <row r="46" spans="2:133" ht="20.100000000000001" hidden="1" customHeight="1" thickBot="1" x14ac:dyDescent="0.25">
      <c r="I46" s="34" t="s">
        <v>69</v>
      </c>
      <c r="J46" s="167">
        <v>5.9</v>
      </c>
      <c r="K46" s="167">
        <v>15.2</v>
      </c>
      <c r="L46" s="167">
        <v>23.5</v>
      </c>
      <c r="M46" s="167">
        <v>31.6</v>
      </c>
      <c r="N46" s="167">
        <v>39.700000000000003</v>
      </c>
      <c r="O46" s="168">
        <v>47.7</v>
      </c>
      <c r="P46" s="110"/>
      <c r="Q46" s="110"/>
      <c r="R46" s="110"/>
      <c r="AA46" t="s">
        <v>370</v>
      </c>
      <c r="AB46" s="228">
        <v>3</v>
      </c>
      <c r="AC46">
        <v>2</v>
      </c>
    </row>
    <row r="47" spans="2:133" ht="20.100000000000001" hidden="1" customHeight="1" x14ac:dyDescent="0.2">
      <c r="E47" s="76" t="s">
        <v>2</v>
      </c>
      <c r="F47" s="76" t="s">
        <v>477</v>
      </c>
      <c r="G47" s="76" t="s">
        <v>478</v>
      </c>
      <c r="P47" s="110"/>
      <c r="Q47" s="110"/>
      <c r="R47" s="110"/>
      <c r="AA47" t="s">
        <v>371</v>
      </c>
      <c r="AB47" s="228">
        <v>4</v>
      </c>
      <c r="AC47">
        <v>2</v>
      </c>
    </row>
    <row r="48" spans="2:133" ht="20.100000000000001" hidden="1" customHeight="1" thickBot="1" x14ac:dyDescent="0.25">
      <c r="E48" s="76" t="s">
        <v>6</v>
      </c>
      <c r="F48" s="76" t="s">
        <v>477</v>
      </c>
      <c r="G48" t="s">
        <v>476</v>
      </c>
      <c r="I48" s="425" t="s">
        <v>164</v>
      </c>
      <c r="J48" s="425"/>
      <c r="K48" s="425"/>
      <c r="L48" s="425"/>
      <c r="M48" s="425"/>
      <c r="N48" s="425"/>
      <c r="O48" s="425"/>
      <c r="AA48" t="s">
        <v>372</v>
      </c>
      <c r="AB48" s="228">
        <v>2</v>
      </c>
      <c r="AC48">
        <v>1</v>
      </c>
    </row>
    <row r="49" spans="6:29" ht="20.100000000000001" hidden="1" customHeight="1" thickBot="1" x14ac:dyDescent="0.25">
      <c r="I49" s="117" t="s">
        <v>162</v>
      </c>
      <c r="J49" s="118">
        <v>1</v>
      </c>
      <c r="K49" s="118">
        <v>2</v>
      </c>
      <c r="L49" s="118">
        <v>3</v>
      </c>
      <c r="M49" s="118">
        <v>4</v>
      </c>
      <c r="N49" s="118">
        <v>5</v>
      </c>
      <c r="O49" s="119">
        <v>6</v>
      </c>
      <c r="AA49" t="s">
        <v>373</v>
      </c>
      <c r="AB49" s="228">
        <v>3</v>
      </c>
      <c r="AC49">
        <v>2</v>
      </c>
    </row>
    <row r="50" spans="6:29" ht="20.100000000000001" hidden="1" customHeight="1" thickBot="1" x14ac:dyDescent="0.25">
      <c r="I50" s="114" t="s">
        <v>56</v>
      </c>
      <c r="J50" s="115">
        <v>1</v>
      </c>
      <c r="K50" s="115">
        <v>6.1</v>
      </c>
      <c r="L50" s="115">
        <v>15</v>
      </c>
      <c r="M50" s="115">
        <v>27</v>
      </c>
      <c r="N50" s="115">
        <v>42</v>
      </c>
      <c r="O50" s="116">
        <v>62</v>
      </c>
      <c r="AA50" t="s">
        <v>374</v>
      </c>
      <c r="AB50" s="228">
        <v>4</v>
      </c>
      <c r="AC50">
        <v>2</v>
      </c>
    </row>
    <row r="51" spans="6:29" ht="20.100000000000001" hidden="1" customHeight="1" x14ac:dyDescent="0.2">
      <c r="F51" s="290" t="s">
        <v>231</v>
      </c>
      <c r="I51" s="1" t="s">
        <v>58</v>
      </c>
      <c r="J51" s="78">
        <v>1.1000000000000001</v>
      </c>
      <c r="K51" s="78">
        <v>8.9</v>
      </c>
      <c r="L51" s="78">
        <v>22</v>
      </c>
      <c r="M51" s="78">
        <v>41</v>
      </c>
      <c r="N51" s="78">
        <v>66</v>
      </c>
      <c r="O51" s="112">
        <v>96</v>
      </c>
    </row>
    <row r="52" spans="6:29" ht="20.100000000000001" hidden="1" customHeight="1" x14ac:dyDescent="0.2">
      <c r="I52" s="1" t="s">
        <v>59</v>
      </c>
      <c r="J52" s="78">
        <v>2.2999999999999998</v>
      </c>
      <c r="K52" s="78">
        <v>14</v>
      </c>
      <c r="L52" s="78">
        <v>34</v>
      </c>
      <c r="M52" s="78">
        <v>61</v>
      </c>
      <c r="N52" s="78">
        <v>97</v>
      </c>
      <c r="O52" s="112">
        <v>141</v>
      </c>
    </row>
    <row r="53" spans="6:29" ht="20.100000000000001" customHeight="1" x14ac:dyDescent="0.2">
      <c r="I53" s="1" t="s">
        <v>61</v>
      </c>
      <c r="J53" s="78">
        <v>2.1</v>
      </c>
      <c r="K53" s="78">
        <v>13</v>
      </c>
      <c r="L53" s="78">
        <v>32</v>
      </c>
      <c r="M53" s="78">
        <v>58</v>
      </c>
      <c r="N53" s="78">
        <v>92</v>
      </c>
      <c r="O53" s="112">
        <v>134</v>
      </c>
    </row>
    <row r="54" spans="6:29" ht="20.100000000000001" customHeight="1" x14ac:dyDescent="0.2">
      <c r="I54" s="1" t="s">
        <v>63</v>
      </c>
      <c r="J54" s="78">
        <v>4.2</v>
      </c>
      <c r="K54" s="78">
        <v>21</v>
      </c>
      <c r="L54" s="78">
        <v>50</v>
      </c>
      <c r="M54" s="78">
        <v>89</v>
      </c>
      <c r="N54" s="78">
        <v>140</v>
      </c>
      <c r="O54" s="112">
        <v>202</v>
      </c>
      <c r="S54" t="e">
        <f>INDEX(I35:O44,MATCH(Q54,I35:I44,0),MATCH(Q55,I35:O35,0))</f>
        <v>#N/A</v>
      </c>
    </row>
    <row r="55" spans="6:29" ht="20.100000000000001" customHeight="1" x14ac:dyDescent="0.2">
      <c r="I55" s="1" t="s">
        <v>65</v>
      </c>
      <c r="J55" s="78">
        <v>6.8</v>
      </c>
      <c r="K55" s="78">
        <v>35</v>
      </c>
      <c r="L55" s="78">
        <v>80</v>
      </c>
      <c r="M55" s="78">
        <v>144</v>
      </c>
      <c r="N55" s="78">
        <v>226</v>
      </c>
      <c r="O55" s="112">
        <v>326</v>
      </c>
      <c r="Q55" s="73"/>
    </row>
    <row r="56" spans="6:29" ht="20.100000000000001" customHeight="1" x14ac:dyDescent="0.2">
      <c r="I56" s="1" t="s">
        <v>124</v>
      </c>
      <c r="J56" s="78">
        <v>7.1</v>
      </c>
      <c r="K56" s="78">
        <v>39</v>
      </c>
      <c r="L56" s="78">
        <v>92</v>
      </c>
      <c r="M56" s="78">
        <v>166</v>
      </c>
      <c r="N56" s="78">
        <v>261</v>
      </c>
      <c r="O56" s="112">
        <v>378</v>
      </c>
    </row>
    <row r="57" spans="6:29" ht="20.100000000000001" customHeight="1" x14ac:dyDescent="0.2">
      <c r="I57" s="1" t="s">
        <v>125</v>
      </c>
      <c r="J57" s="78">
        <v>9.4</v>
      </c>
      <c r="K57" s="78">
        <v>48</v>
      </c>
      <c r="L57" s="78">
        <v>111</v>
      </c>
      <c r="M57" s="78">
        <v>199</v>
      </c>
      <c r="N57" s="78">
        <v>312</v>
      </c>
      <c r="O57" s="112">
        <v>450</v>
      </c>
    </row>
    <row r="58" spans="6:29" ht="20.100000000000001" customHeight="1" thickBot="1" x14ac:dyDescent="0.25">
      <c r="I58" s="34" t="s">
        <v>126</v>
      </c>
      <c r="J58" s="111">
        <v>10</v>
      </c>
      <c r="K58" s="111">
        <v>54</v>
      </c>
      <c r="L58" s="111">
        <v>126</v>
      </c>
      <c r="M58" s="111">
        <v>227</v>
      </c>
      <c r="N58" s="111">
        <v>357</v>
      </c>
      <c r="O58" s="113">
        <v>516</v>
      </c>
    </row>
    <row r="59" spans="6:29" ht="20.100000000000001" customHeight="1" x14ac:dyDescent="0.2">
      <c r="I59" s="30" t="s">
        <v>67</v>
      </c>
      <c r="J59" s="165">
        <v>10.7</v>
      </c>
      <c r="K59" s="165">
        <v>117</v>
      </c>
      <c r="L59" s="165">
        <v>313</v>
      </c>
      <c r="M59" s="165">
        <v>600</v>
      </c>
      <c r="N59" s="165">
        <v>978</v>
      </c>
      <c r="O59" s="166">
        <v>1447</v>
      </c>
    </row>
    <row r="60" spans="6:29" ht="20.100000000000001" customHeight="1" thickBot="1" x14ac:dyDescent="0.25">
      <c r="I60" s="34" t="s">
        <v>69</v>
      </c>
      <c r="J60" s="167">
        <v>15.1</v>
      </c>
      <c r="K60" s="167">
        <v>160</v>
      </c>
      <c r="L60" s="167">
        <v>428</v>
      </c>
      <c r="M60" s="167">
        <v>820</v>
      </c>
      <c r="N60" s="167">
        <v>1335</v>
      </c>
      <c r="O60" s="168">
        <v>1973</v>
      </c>
    </row>
    <row r="61" spans="6:29" ht="20.100000000000001" customHeight="1" x14ac:dyDescent="0.2"/>
    <row r="62" spans="6:29" ht="20.100000000000001" customHeight="1" x14ac:dyDescent="0.2"/>
    <row r="63" spans="6:29" ht="20.100000000000001" customHeight="1" thickBot="1" x14ac:dyDescent="0.25">
      <c r="I63" s="425" t="s">
        <v>163</v>
      </c>
      <c r="J63" s="425"/>
      <c r="K63" s="425"/>
      <c r="L63" s="425"/>
      <c r="M63" s="425"/>
      <c r="N63" s="425"/>
      <c r="O63" s="425"/>
    </row>
    <row r="64" spans="6:29" ht="20.100000000000001" customHeight="1" thickBot="1" x14ac:dyDescent="0.25">
      <c r="I64" s="117" t="s">
        <v>162</v>
      </c>
      <c r="J64" s="118">
        <v>1</v>
      </c>
      <c r="K64" s="118">
        <v>2</v>
      </c>
      <c r="L64" s="118">
        <v>3</v>
      </c>
      <c r="M64" s="118">
        <v>4</v>
      </c>
      <c r="N64" s="118">
        <v>5</v>
      </c>
      <c r="O64" s="119">
        <v>6</v>
      </c>
    </row>
    <row r="65" spans="9:15" ht="20.100000000000001" customHeight="1" x14ac:dyDescent="0.2">
      <c r="I65" s="114" t="s">
        <v>56</v>
      </c>
      <c r="J65" s="115">
        <v>0.4</v>
      </c>
      <c r="K65" s="115">
        <v>1.1000000000000001</v>
      </c>
      <c r="L65" s="115">
        <v>2</v>
      </c>
      <c r="M65" s="115">
        <v>3.1</v>
      </c>
      <c r="N65" s="115">
        <v>4.4000000000000004</v>
      </c>
      <c r="O65" s="116">
        <v>6</v>
      </c>
    </row>
    <row r="66" spans="9:15" ht="20.100000000000001" customHeight="1" x14ac:dyDescent="0.2">
      <c r="I66" s="1" t="s">
        <v>58</v>
      </c>
      <c r="J66" s="78">
        <v>0.7</v>
      </c>
      <c r="K66" s="78">
        <v>1.5</v>
      </c>
      <c r="L66" s="78">
        <v>2.6</v>
      </c>
      <c r="M66" s="78">
        <v>3.9</v>
      </c>
      <c r="N66" s="78">
        <v>5.6</v>
      </c>
      <c r="O66" s="112">
        <v>7.5</v>
      </c>
    </row>
    <row r="67" spans="9:15" x14ac:dyDescent="0.2">
      <c r="I67" s="1" t="s">
        <v>59</v>
      </c>
      <c r="J67" s="78">
        <v>0.9</v>
      </c>
      <c r="K67" s="78">
        <v>2</v>
      </c>
      <c r="L67" s="78">
        <v>3.3</v>
      </c>
      <c r="M67" s="78">
        <v>4.9000000000000004</v>
      </c>
      <c r="N67" s="78">
        <v>6.7</v>
      </c>
      <c r="O67" s="112">
        <v>9</v>
      </c>
    </row>
    <row r="68" spans="9:15" x14ac:dyDescent="0.2">
      <c r="I68" s="1" t="s">
        <v>61</v>
      </c>
      <c r="J68" s="78">
        <v>0.6</v>
      </c>
      <c r="K68" s="78">
        <v>1.4</v>
      </c>
      <c r="L68" s="78">
        <v>2.5</v>
      </c>
      <c r="M68" s="78">
        <v>3.7</v>
      </c>
      <c r="N68" s="78">
        <v>5.6</v>
      </c>
      <c r="O68" s="112">
        <v>7.1</v>
      </c>
    </row>
    <row r="69" spans="9:15" x14ac:dyDescent="0.2">
      <c r="I69" s="1" t="s">
        <v>63</v>
      </c>
      <c r="J69" s="78">
        <v>0.8</v>
      </c>
      <c r="K69" s="78">
        <v>1.8</v>
      </c>
      <c r="L69" s="78">
        <v>3</v>
      </c>
      <c r="M69" s="78">
        <v>4.4000000000000004</v>
      </c>
      <c r="N69" s="78">
        <v>6.1</v>
      </c>
      <c r="O69" s="112">
        <v>8.1999999999999993</v>
      </c>
    </row>
    <row r="70" spans="9:15" x14ac:dyDescent="0.2">
      <c r="I70" s="1" t="s">
        <v>65</v>
      </c>
      <c r="J70" s="78">
        <v>1.3</v>
      </c>
      <c r="K70" s="78">
        <v>2.7</v>
      </c>
      <c r="L70" s="78">
        <v>4.3</v>
      </c>
      <c r="M70" s="78">
        <v>6.1</v>
      </c>
      <c r="N70" s="78">
        <v>8.1999999999999993</v>
      </c>
      <c r="O70" s="112">
        <v>10.7</v>
      </c>
    </row>
    <row r="71" spans="9:15" x14ac:dyDescent="0.2">
      <c r="I71" s="1" t="s">
        <v>124</v>
      </c>
      <c r="J71" s="78">
        <v>1.5</v>
      </c>
      <c r="K71" s="78">
        <v>3.2</v>
      </c>
      <c r="L71" s="78">
        <v>5</v>
      </c>
      <c r="M71" s="78">
        <v>7</v>
      </c>
      <c r="N71" s="78">
        <v>9.3000000000000007</v>
      </c>
      <c r="O71" s="112">
        <v>11.9</v>
      </c>
    </row>
    <row r="72" spans="9:15" x14ac:dyDescent="0.2">
      <c r="I72" s="1" t="s">
        <v>125</v>
      </c>
      <c r="J72" s="78">
        <v>1.8</v>
      </c>
      <c r="K72" s="78">
        <v>3.7</v>
      </c>
      <c r="L72" s="78">
        <v>5.7</v>
      </c>
      <c r="M72" s="78">
        <v>7.9</v>
      </c>
      <c r="N72" s="78">
        <v>10.4</v>
      </c>
      <c r="O72" s="112">
        <v>13.2</v>
      </c>
    </row>
    <row r="73" spans="9:15" ht="13.5" thickBot="1" x14ac:dyDescent="0.25">
      <c r="I73" s="34" t="s">
        <v>126</v>
      </c>
      <c r="J73" s="111">
        <v>2</v>
      </c>
      <c r="K73" s="111">
        <v>4.0999999999999996</v>
      </c>
      <c r="L73" s="111">
        <v>6.4</v>
      </c>
      <c r="M73" s="111">
        <v>8.8000000000000007</v>
      </c>
      <c r="N73" s="111">
        <v>11.5</v>
      </c>
      <c r="O73" s="113">
        <v>14.5</v>
      </c>
    </row>
    <row r="74" spans="9:15" x14ac:dyDescent="0.2">
      <c r="I74" s="30" t="s">
        <v>67</v>
      </c>
      <c r="J74" s="165">
        <v>5.4</v>
      </c>
      <c r="K74" s="165">
        <v>13.7</v>
      </c>
      <c r="L74" s="165">
        <v>22.1</v>
      </c>
      <c r="M74" s="165">
        <v>30.5</v>
      </c>
      <c r="N74" s="165">
        <v>38.700000000000003</v>
      </c>
      <c r="O74" s="166">
        <v>46.9</v>
      </c>
    </row>
    <row r="75" spans="9:15" ht="13.5" thickBot="1" x14ac:dyDescent="0.25">
      <c r="I75" s="34" t="s">
        <v>69</v>
      </c>
      <c r="J75" s="167">
        <v>3.6</v>
      </c>
      <c r="K75" s="167">
        <v>13.2</v>
      </c>
      <c r="L75" s="167">
        <v>21.9</v>
      </c>
      <c r="M75" s="167">
        <v>30.3</v>
      </c>
      <c r="N75" s="167">
        <v>38.5</v>
      </c>
      <c r="O75" s="168">
        <v>46.8</v>
      </c>
    </row>
    <row r="78" spans="9:15" ht="15" thickBot="1" x14ac:dyDescent="0.25">
      <c r="I78" s="425" t="s">
        <v>164</v>
      </c>
      <c r="J78" s="425"/>
      <c r="K78" s="425"/>
      <c r="L78" s="425"/>
      <c r="M78" s="425"/>
      <c r="N78" s="425"/>
      <c r="O78" s="425"/>
    </row>
    <row r="79" spans="9:15" ht="15" thickBot="1" x14ac:dyDescent="0.25">
      <c r="I79" s="117" t="s">
        <v>162</v>
      </c>
      <c r="J79" s="118">
        <v>1</v>
      </c>
      <c r="K79" s="118">
        <v>2</v>
      </c>
      <c r="L79" s="118">
        <v>3</v>
      </c>
      <c r="M79" s="118">
        <v>4</v>
      </c>
      <c r="N79" s="118">
        <v>5</v>
      </c>
      <c r="O79" s="119">
        <v>6</v>
      </c>
    </row>
    <row r="80" spans="9:15" x14ac:dyDescent="0.2">
      <c r="I80" s="114" t="s">
        <v>56</v>
      </c>
      <c r="J80" s="115">
        <v>0.3</v>
      </c>
      <c r="K80" s="115">
        <v>2</v>
      </c>
      <c r="L80" s="115">
        <v>4.8</v>
      </c>
      <c r="M80" s="115">
        <v>8.8000000000000007</v>
      </c>
      <c r="N80" s="115">
        <v>14</v>
      </c>
      <c r="O80" s="116">
        <v>20</v>
      </c>
    </row>
    <row r="81" spans="9:18" x14ac:dyDescent="0.2">
      <c r="I81" s="1" t="s">
        <v>58</v>
      </c>
      <c r="J81" s="78">
        <v>0.3</v>
      </c>
      <c r="K81" s="78">
        <v>2.8</v>
      </c>
      <c r="L81" s="78">
        <v>6.8</v>
      </c>
      <c r="M81" s="78">
        <v>13</v>
      </c>
      <c r="N81" s="78">
        <v>20</v>
      </c>
      <c r="O81" s="112">
        <v>30</v>
      </c>
    </row>
    <row r="82" spans="9:18" x14ac:dyDescent="0.2">
      <c r="I82" s="1" t="s">
        <v>59</v>
      </c>
      <c r="J82" s="78">
        <v>0.7</v>
      </c>
      <c r="K82" s="78">
        <v>4</v>
      </c>
      <c r="L82" s="78">
        <v>10</v>
      </c>
      <c r="M82" s="78">
        <v>18</v>
      </c>
      <c r="N82" s="78">
        <v>28</v>
      </c>
      <c r="O82" s="112">
        <v>40</v>
      </c>
    </row>
    <row r="83" spans="9:18" x14ac:dyDescent="0.2">
      <c r="I83" s="1" t="s">
        <v>61</v>
      </c>
      <c r="J83" s="78">
        <v>0.6</v>
      </c>
      <c r="K83" s="78">
        <v>4</v>
      </c>
      <c r="L83" s="78">
        <v>9.5</v>
      </c>
      <c r="M83" s="78">
        <v>17</v>
      </c>
      <c r="N83" s="78">
        <v>27</v>
      </c>
      <c r="O83" s="112">
        <v>40</v>
      </c>
    </row>
    <row r="84" spans="9:18" x14ac:dyDescent="0.2">
      <c r="I84" s="1" t="s">
        <v>63</v>
      </c>
      <c r="J84" s="78">
        <v>1.1000000000000001</v>
      </c>
      <c r="K84" s="78">
        <v>5.7</v>
      </c>
      <c r="L84" s="78">
        <v>13</v>
      </c>
      <c r="M84" s="78">
        <v>24</v>
      </c>
      <c r="N84" s="78">
        <v>37</v>
      </c>
      <c r="O84" s="112">
        <v>54</v>
      </c>
    </row>
    <row r="85" spans="9:18" x14ac:dyDescent="0.2">
      <c r="I85" s="1" t="s">
        <v>65</v>
      </c>
      <c r="J85" s="78">
        <v>1.7</v>
      </c>
      <c r="K85" s="78">
        <v>8.6</v>
      </c>
      <c r="L85" s="78">
        <v>20</v>
      </c>
      <c r="M85" s="78">
        <v>36</v>
      </c>
      <c r="N85" s="78">
        <v>56</v>
      </c>
      <c r="O85" s="112">
        <v>81</v>
      </c>
      <c r="Q85" s="72"/>
      <c r="R85" s="72" t="s">
        <v>238</v>
      </c>
    </row>
    <row r="86" spans="9:18" x14ac:dyDescent="0.2">
      <c r="I86" s="1" t="s">
        <v>124</v>
      </c>
      <c r="J86" s="78">
        <v>1.8</v>
      </c>
      <c r="K86" s="78">
        <v>10</v>
      </c>
      <c r="L86" s="78">
        <v>23</v>
      </c>
      <c r="M86" s="78">
        <v>41</v>
      </c>
      <c r="N86" s="78">
        <v>65</v>
      </c>
      <c r="O86" s="112">
        <v>94</v>
      </c>
      <c r="Q86" s="79" t="s">
        <v>56</v>
      </c>
      <c r="R86" s="229">
        <v>10</v>
      </c>
    </row>
    <row r="87" spans="9:18" x14ac:dyDescent="0.2">
      <c r="I87" s="1" t="s">
        <v>125</v>
      </c>
      <c r="J87" s="78">
        <v>2.2999999999999998</v>
      </c>
      <c r="K87" s="78">
        <v>11</v>
      </c>
      <c r="L87" s="78">
        <v>27</v>
      </c>
      <c r="M87" s="78">
        <v>48</v>
      </c>
      <c r="N87" s="78">
        <v>75</v>
      </c>
      <c r="O87" s="112">
        <v>108</v>
      </c>
      <c r="Q87" s="79" t="s">
        <v>58</v>
      </c>
      <c r="R87" s="229">
        <v>10</v>
      </c>
    </row>
    <row r="88" spans="9:18" ht="13.5" thickBot="1" x14ac:dyDescent="0.25">
      <c r="I88" s="34" t="s">
        <v>126</v>
      </c>
      <c r="J88" s="111">
        <v>2.2999999999999998</v>
      </c>
      <c r="K88" s="111">
        <v>13</v>
      </c>
      <c r="L88" s="111">
        <v>29</v>
      </c>
      <c r="M88" s="111">
        <v>53</v>
      </c>
      <c r="N88" s="111">
        <v>83</v>
      </c>
      <c r="O88" s="113">
        <v>121</v>
      </c>
      <c r="Q88" s="79" t="s">
        <v>59</v>
      </c>
      <c r="R88" s="229">
        <v>10</v>
      </c>
    </row>
    <row r="89" spans="9:18" x14ac:dyDescent="0.2">
      <c r="I89" s="30" t="s">
        <v>67</v>
      </c>
      <c r="J89" s="165">
        <v>3.3</v>
      </c>
      <c r="K89" s="165">
        <v>36</v>
      </c>
      <c r="L89" s="165">
        <v>97</v>
      </c>
      <c r="M89" s="165">
        <v>185</v>
      </c>
      <c r="N89" s="165">
        <v>302</v>
      </c>
      <c r="O89" s="166">
        <v>446</v>
      </c>
      <c r="Q89" s="79" t="s">
        <v>61</v>
      </c>
      <c r="R89" s="229">
        <v>12</v>
      </c>
    </row>
    <row r="90" spans="9:18" ht="13.5" thickBot="1" x14ac:dyDescent="0.25">
      <c r="I90" s="34" t="s">
        <v>69</v>
      </c>
      <c r="J90" s="167">
        <v>4.5</v>
      </c>
      <c r="K90" s="167">
        <v>47</v>
      </c>
      <c r="L90" s="167">
        <v>126</v>
      </c>
      <c r="M90" s="167">
        <v>241</v>
      </c>
      <c r="N90" s="167">
        <v>393</v>
      </c>
      <c r="O90" s="168">
        <v>581</v>
      </c>
      <c r="Q90" s="79" t="s">
        <v>63</v>
      </c>
      <c r="R90" s="229">
        <v>12</v>
      </c>
    </row>
    <row r="91" spans="9:18" x14ac:dyDescent="0.2">
      <c r="Q91" s="79" t="s">
        <v>65</v>
      </c>
      <c r="R91" s="229">
        <v>12</v>
      </c>
    </row>
    <row r="92" spans="9:18" x14ac:dyDescent="0.2">
      <c r="Q92" s="79" t="s">
        <v>124</v>
      </c>
      <c r="R92" s="229">
        <v>12</v>
      </c>
    </row>
    <row r="93" spans="9:18" x14ac:dyDescent="0.2">
      <c r="Q93" s="79" t="s">
        <v>125</v>
      </c>
      <c r="R93" s="229">
        <v>12</v>
      </c>
    </row>
    <row r="94" spans="9:18" x14ac:dyDescent="0.2">
      <c r="Q94" s="79" t="s">
        <v>126</v>
      </c>
      <c r="R94" s="229">
        <v>12</v>
      </c>
    </row>
    <row r="95" spans="9:18" x14ac:dyDescent="0.2">
      <c r="Q95" s="79" t="s">
        <v>67</v>
      </c>
      <c r="R95" s="229">
        <v>10</v>
      </c>
    </row>
    <row r="96" spans="9:18" x14ac:dyDescent="0.2">
      <c r="Q96" s="79" t="s">
        <v>69</v>
      </c>
      <c r="R96" s="229">
        <v>12</v>
      </c>
    </row>
    <row r="102" spans="9:15" ht="15" thickBot="1" x14ac:dyDescent="0.25">
      <c r="I102" s="425" t="s">
        <v>163</v>
      </c>
      <c r="J102" s="425"/>
      <c r="K102" s="425"/>
      <c r="L102" s="425"/>
      <c r="M102" s="425"/>
      <c r="N102" s="425"/>
      <c r="O102" s="425"/>
    </row>
    <row r="103" spans="9:15" ht="15" thickBot="1" x14ac:dyDescent="0.25">
      <c r="I103" s="117" t="s">
        <v>162</v>
      </c>
      <c r="J103" s="118">
        <v>1</v>
      </c>
      <c r="K103" s="118">
        <v>2</v>
      </c>
      <c r="L103" s="118">
        <v>3</v>
      </c>
      <c r="M103" s="118">
        <v>4</v>
      </c>
      <c r="N103" s="118">
        <v>5</v>
      </c>
      <c r="O103" s="119">
        <v>6</v>
      </c>
    </row>
    <row r="104" spans="9:15" x14ac:dyDescent="0.2">
      <c r="I104" s="114" t="s">
        <v>56</v>
      </c>
      <c r="J104" s="115">
        <v>2</v>
      </c>
      <c r="K104" s="115">
        <v>4</v>
      </c>
      <c r="L104" s="115">
        <v>6</v>
      </c>
      <c r="M104" s="115">
        <v>8</v>
      </c>
      <c r="N104" s="115">
        <v>10</v>
      </c>
      <c r="O104" s="116">
        <v>12</v>
      </c>
    </row>
    <row r="105" spans="9:15" x14ac:dyDescent="0.2">
      <c r="I105" s="1" t="s">
        <v>58</v>
      </c>
      <c r="J105" s="78">
        <v>1.7</v>
      </c>
      <c r="K105" s="78">
        <v>3.8</v>
      </c>
      <c r="L105" s="78">
        <v>6.3</v>
      </c>
      <c r="M105" s="78">
        <v>9</v>
      </c>
      <c r="N105" s="78">
        <v>12</v>
      </c>
      <c r="O105" s="112">
        <v>15.1</v>
      </c>
    </row>
    <row r="106" spans="9:15" x14ac:dyDescent="0.2">
      <c r="I106" s="1" t="s">
        <v>59</v>
      </c>
      <c r="J106" s="78">
        <v>1.8</v>
      </c>
      <c r="K106" s="78">
        <v>3.9</v>
      </c>
      <c r="L106" s="78">
        <v>6.4</v>
      </c>
      <c r="M106" s="78">
        <v>9.3000000000000007</v>
      </c>
      <c r="N106" s="78">
        <v>12.5</v>
      </c>
      <c r="O106" s="112">
        <v>16.2</v>
      </c>
    </row>
    <row r="107" spans="9:15" x14ac:dyDescent="0.2">
      <c r="I107" s="1" t="s">
        <v>61</v>
      </c>
      <c r="J107" s="78">
        <v>1.7</v>
      </c>
      <c r="K107" s="78">
        <v>3.8</v>
      </c>
      <c r="L107" s="78">
        <v>6.3</v>
      </c>
      <c r="M107" s="78">
        <v>9</v>
      </c>
      <c r="N107" s="78">
        <v>12</v>
      </c>
      <c r="O107" s="112">
        <v>15.1</v>
      </c>
    </row>
    <row r="108" spans="9:15" x14ac:dyDescent="0.2">
      <c r="I108" s="1" t="s">
        <v>63</v>
      </c>
      <c r="J108" s="78">
        <v>1.8</v>
      </c>
      <c r="K108" s="78">
        <v>3.9</v>
      </c>
      <c r="L108" s="78">
        <v>6.4</v>
      </c>
      <c r="M108" s="78">
        <v>9.3000000000000007</v>
      </c>
      <c r="N108" s="78">
        <v>12.5</v>
      </c>
      <c r="O108" s="112">
        <v>16.2</v>
      </c>
    </row>
    <row r="109" spans="9:15" x14ac:dyDescent="0.2">
      <c r="I109" s="1" t="s">
        <v>65</v>
      </c>
      <c r="J109" s="78">
        <v>2.2000000000000002</v>
      </c>
      <c r="K109" s="78">
        <v>4.5999999999999996</v>
      </c>
      <c r="L109" s="78">
        <v>7.3</v>
      </c>
      <c r="M109" s="78">
        <v>10.3</v>
      </c>
      <c r="N109" s="78">
        <v>13.7</v>
      </c>
      <c r="O109" s="112">
        <v>17.600000000000001</v>
      </c>
    </row>
    <row r="110" spans="9:15" x14ac:dyDescent="0.2">
      <c r="I110" s="1" t="s">
        <v>124</v>
      </c>
      <c r="J110" s="78">
        <v>2.4</v>
      </c>
      <c r="K110" s="78">
        <v>5</v>
      </c>
      <c r="L110" s="78">
        <v>7.9</v>
      </c>
      <c r="M110" s="78">
        <v>11</v>
      </c>
      <c r="N110" s="78">
        <v>14.5</v>
      </c>
      <c r="O110" s="112">
        <v>18.5</v>
      </c>
    </row>
    <row r="111" spans="9:15" x14ac:dyDescent="0.2">
      <c r="I111" s="1" t="s">
        <v>125</v>
      </c>
      <c r="J111" s="78">
        <v>2.7</v>
      </c>
      <c r="K111" s="78">
        <v>5.5</v>
      </c>
      <c r="L111" s="78">
        <v>8.5</v>
      </c>
      <c r="M111" s="78">
        <v>11.8</v>
      </c>
      <c r="N111" s="78">
        <v>15.4</v>
      </c>
      <c r="O111" s="112">
        <v>19.5</v>
      </c>
    </row>
    <row r="112" spans="9:15" ht="13.5" thickBot="1" x14ac:dyDescent="0.25">
      <c r="I112" s="34" t="s">
        <v>126</v>
      </c>
      <c r="J112" s="111">
        <v>2.9</v>
      </c>
      <c r="K112" s="111">
        <v>5.9</v>
      </c>
      <c r="L112" s="111">
        <v>9.1</v>
      </c>
      <c r="M112" s="111">
        <v>12.6</v>
      </c>
      <c r="N112" s="111">
        <v>16.399999999999999</v>
      </c>
      <c r="O112" s="113">
        <v>20.6</v>
      </c>
    </row>
    <row r="113" spans="9:15" x14ac:dyDescent="0.2">
      <c r="I113" s="30" t="s">
        <v>67</v>
      </c>
      <c r="J113" s="165">
        <v>7.6</v>
      </c>
      <c r="K113" s="165">
        <v>15.7</v>
      </c>
      <c r="L113" s="165">
        <v>23.8</v>
      </c>
      <c r="M113" s="165">
        <v>31.9</v>
      </c>
      <c r="N113" s="165">
        <v>39.9</v>
      </c>
      <c r="O113" s="169">
        <v>47.9</v>
      </c>
    </row>
    <row r="114" spans="9:15" ht="13.5" thickBot="1" x14ac:dyDescent="0.25">
      <c r="I114" s="34" t="s">
        <v>69</v>
      </c>
      <c r="J114" s="170">
        <v>7.1</v>
      </c>
      <c r="K114" s="170">
        <v>15.7</v>
      </c>
      <c r="L114" s="170">
        <v>23.8</v>
      </c>
      <c r="M114" s="170">
        <v>31.9</v>
      </c>
      <c r="N114" s="170">
        <v>39.9</v>
      </c>
      <c r="O114" s="171">
        <v>47.9</v>
      </c>
    </row>
    <row r="116" spans="9:15" ht="15" thickBot="1" x14ac:dyDescent="0.25">
      <c r="I116" s="425" t="s">
        <v>164</v>
      </c>
      <c r="J116" s="425"/>
      <c r="K116" s="425"/>
      <c r="L116" s="425"/>
      <c r="M116" s="425"/>
      <c r="N116" s="425"/>
      <c r="O116" s="425"/>
    </row>
    <row r="117" spans="9:15" ht="15" thickBot="1" x14ac:dyDescent="0.25">
      <c r="I117" s="117" t="s">
        <v>162</v>
      </c>
      <c r="J117" s="118">
        <v>1</v>
      </c>
      <c r="K117" s="118">
        <v>2</v>
      </c>
      <c r="L117" s="118">
        <v>3</v>
      </c>
      <c r="M117" s="118">
        <v>4</v>
      </c>
      <c r="N117" s="118">
        <v>5</v>
      </c>
      <c r="O117" s="119">
        <v>6</v>
      </c>
    </row>
    <row r="118" spans="9:15" x14ac:dyDescent="0.2">
      <c r="I118" s="114" t="s">
        <v>56</v>
      </c>
      <c r="J118" s="115">
        <v>0.4</v>
      </c>
      <c r="K118" s="115">
        <v>2.4</v>
      </c>
      <c r="L118" s="115">
        <v>5.7</v>
      </c>
      <c r="M118" s="115">
        <v>10.3</v>
      </c>
      <c r="N118" s="115">
        <v>16</v>
      </c>
      <c r="O118" s="116">
        <v>24</v>
      </c>
    </row>
    <row r="119" spans="9:15" x14ac:dyDescent="0.2">
      <c r="I119" s="1" t="s">
        <v>58</v>
      </c>
      <c r="J119" s="78">
        <v>0.4</v>
      </c>
      <c r="K119" s="78">
        <v>3.2</v>
      </c>
      <c r="L119" s="78">
        <v>8</v>
      </c>
      <c r="M119" s="78">
        <v>15</v>
      </c>
      <c r="N119" s="78">
        <v>24</v>
      </c>
      <c r="O119" s="112">
        <v>35</v>
      </c>
    </row>
    <row r="120" spans="9:15" x14ac:dyDescent="0.2">
      <c r="I120" s="1" t="s">
        <v>59</v>
      </c>
      <c r="J120" s="78">
        <v>0.8</v>
      </c>
      <c r="K120" s="78">
        <v>4.7</v>
      </c>
      <c r="L120" s="78">
        <v>11</v>
      </c>
      <c r="M120" s="78">
        <v>21</v>
      </c>
      <c r="N120" s="78">
        <v>33</v>
      </c>
      <c r="O120" s="112">
        <v>48</v>
      </c>
    </row>
    <row r="121" spans="9:15" x14ac:dyDescent="0.2">
      <c r="I121" s="1" t="s">
        <v>61</v>
      </c>
      <c r="J121" s="78">
        <v>0.7</v>
      </c>
      <c r="K121" s="78">
        <v>4.5999999999999996</v>
      </c>
      <c r="L121" s="78">
        <v>11</v>
      </c>
      <c r="M121" s="78">
        <v>20</v>
      </c>
      <c r="N121" s="78">
        <v>32</v>
      </c>
      <c r="O121" s="112">
        <v>46</v>
      </c>
    </row>
    <row r="122" spans="9:15" x14ac:dyDescent="0.2">
      <c r="I122" s="1" t="s">
        <v>63</v>
      </c>
      <c r="J122" s="78">
        <v>1.3</v>
      </c>
      <c r="K122" s="78">
        <v>6.6</v>
      </c>
      <c r="L122" s="78">
        <v>15</v>
      </c>
      <c r="M122" s="78">
        <v>28</v>
      </c>
      <c r="N122" s="78">
        <v>43</v>
      </c>
      <c r="O122" s="112">
        <v>63</v>
      </c>
    </row>
    <row r="123" spans="9:15" x14ac:dyDescent="0.2">
      <c r="I123" s="1" t="s">
        <v>65</v>
      </c>
      <c r="J123" s="78">
        <v>2</v>
      </c>
      <c r="K123" s="78">
        <v>10</v>
      </c>
      <c r="L123" s="78">
        <v>23</v>
      </c>
      <c r="M123" s="78">
        <v>41</v>
      </c>
      <c r="N123" s="78">
        <v>65</v>
      </c>
      <c r="O123" s="112">
        <v>94</v>
      </c>
    </row>
    <row r="124" spans="9:15" x14ac:dyDescent="0.2">
      <c r="I124" s="1" t="s">
        <v>124</v>
      </c>
      <c r="J124" s="78">
        <v>2</v>
      </c>
      <c r="K124" s="78">
        <v>11</v>
      </c>
      <c r="L124" s="78">
        <v>26</v>
      </c>
      <c r="M124" s="78">
        <v>48</v>
      </c>
      <c r="N124" s="78">
        <v>75</v>
      </c>
      <c r="O124" s="112">
        <v>108</v>
      </c>
    </row>
    <row r="125" spans="9:15" x14ac:dyDescent="0.2">
      <c r="I125" s="1" t="s">
        <v>125</v>
      </c>
      <c r="J125" s="78">
        <v>2.6</v>
      </c>
      <c r="K125" s="78">
        <v>13</v>
      </c>
      <c r="L125" s="78">
        <v>31</v>
      </c>
      <c r="M125" s="78">
        <v>55</v>
      </c>
      <c r="N125" s="78">
        <v>87</v>
      </c>
      <c r="O125" s="112">
        <v>125</v>
      </c>
    </row>
    <row r="126" spans="9:15" ht="13.5" thickBot="1" x14ac:dyDescent="0.25">
      <c r="I126" s="34" t="s">
        <v>126</v>
      </c>
      <c r="J126" s="111">
        <v>2.7</v>
      </c>
      <c r="K126" s="111">
        <v>15</v>
      </c>
      <c r="L126" s="111">
        <v>34</v>
      </c>
      <c r="M126" s="111">
        <v>61</v>
      </c>
      <c r="N126" s="111">
        <v>97</v>
      </c>
      <c r="O126" s="113">
        <v>140</v>
      </c>
    </row>
    <row r="127" spans="9:15" x14ac:dyDescent="0.2">
      <c r="I127" s="30" t="s">
        <v>67</v>
      </c>
      <c r="J127" s="165">
        <v>3.9</v>
      </c>
      <c r="K127" s="165">
        <v>42</v>
      </c>
      <c r="L127" s="165">
        <v>114</v>
      </c>
      <c r="M127" s="165">
        <v>218</v>
      </c>
      <c r="N127" s="165">
        <v>355</v>
      </c>
      <c r="O127" s="169">
        <v>525</v>
      </c>
    </row>
    <row r="128" spans="9:15" ht="13.5" thickBot="1" x14ac:dyDescent="0.25">
      <c r="I128" s="34" t="s">
        <v>69</v>
      </c>
      <c r="J128" s="170">
        <v>5.2</v>
      </c>
      <c r="K128" s="170">
        <v>55</v>
      </c>
      <c r="L128" s="170">
        <v>146</v>
      </c>
      <c r="M128" s="170">
        <v>280</v>
      </c>
      <c r="N128" s="170">
        <v>455</v>
      </c>
      <c r="O128" s="171">
        <v>673</v>
      </c>
    </row>
    <row r="132" spans="8:12" ht="13.5" thickBot="1" x14ac:dyDescent="0.25"/>
    <row r="133" spans="8:12" ht="39" thickBot="1" x14ac:dyDescent="0.25">
      <c r="I133" s="117"/>
      <c r="J133" s="118"/>
      <c r="K133" s="158" t="s">
        <v>213</v>
      </c>
      <c r="L133" s="151" t="s">
        <v>212</v>
      </c>
    </row>
    <row r="134" spans="8:12" x14ac:dyDescent="0.2">
      <c r="I134" s="114" t="s">
        <v>342</v>
      </c>
      <c r="J134" s="149">
        <v>1.1100000000000001</v>
      </c>
      <c r="K134" s="155">
        <v>220</v>
      </c>
      <c r="L134" s="152">
        <f>J134*K134</f>
        <v>244.20000000000002</v>
      </c>
    </row>
    <row r="135" spans="8:12" x14ac:dyDescent="0.2">
      <c r="I135" s="1" t="s">
        <v>343</v>
      </c>
      <c r="J135" s="77">
        <v>1.27</v>
      </c>
      <c r="K135" s="156">
        <v>220</v>
      </c>
      <c r="L135" s="153">
        <f t="shared" ref="L135:L141" si="8">J135*K135</f>
        <v>279.39999999999998</v>
      </c>
    </row>
    <row r="136" spans="8:12" x14ac:dyDescent="0.2">
      <c r="H136">
        <v>18</v>
      </c>
      <c r="I136" s="1" t="s">
        <v>344</v>
      </c>
      <c r="J136" s="77">
        <v>1.1100000000000001</v>
      </c>
      <c r="K136" s="156">
        <v>210</v>
      </c>
      <c r="L136" s="153">
        <f t="shared" si="8"/>
        <v>233.10000000000002</v>
      </c>
    </row>
    <row r="137" spans="8:12" x14ac:dyDescent="0.2">
      <c r="H137">
        <v>35</v>
      </c>
      <c r="I137" s="1" t="s">
        <v>345</v>
      </c>
      <c r="J137" s="77">
        <v>3.39</v>
      </c>
      <c r="K137" s="156">
        <v>210</v>
      </c>
      <c r="L137" s="153">
        <f t="shared" si="8"/>
        <v>711.9</v>
      </c>
    </row>
    <row r="138" spans="8:12" x14ac:dyDescent="0.2">
      <c r="H138">
        <v>50</v>
      </c>
      <c r="I138" s="1" t="s">
        <v>346</v>
      </c>
      <c r="J138" s="77">
        <v>3.7</v>
      </c>
      <c r="K138" s="156">
        <v>210</v>
      </c>
      <c r="L138" s="153">
        <f t="shared" si="8"/>
        <v>777</v>
      </c>
    </row>
    <row r="139" spans="8:12" x14ac:dyDescent="0.2">
      <c r="H139">
        <v>75</v>
      </c>
      <c r="I139" s="1" t="s">
        <v>347</v>
      </c>
      <c r="J139" s="77">
        <v>3.7</v>
      </c>
      <c r="K139" s="156">
        <v>210</v>
      </c>
      <c r="L139" s="153">
        <f t="shared" si="8"/>
        <v>777</v>
      </c>
    </row>
    <row r="140" spans="8:12" x14ac:dyDescent="0.2">
      <c r="H140">
        <v>100</v>
      </c>
      <c r="I140" s="1" t="s">
        <v>348</v>
      </c>
      <c r="J140" s="77">
        <v>3.7</v>
      </c>
      <c r="K140" s="156">
        <v>210</v>
      </c>
      <c r="L140" s="153">
        <f t="shared" si="8"/>
        <v>777</v>
      </c>
    </row>
    <row r="141" spans="8:12" ht="13.5" thickBot="1" x14ac:dyDescent="0.25">
      <c r="H141">
        <v>125</v>
      </c>
      <c r="I141" s="34" t="s">
        <v>349</v>
      </c>
      <c r="J141" s="150">
        <v>3.7</v>
      </c>
      <c r="K141" s="157">
        <v>210</v>
      </c>
      <c r="L141" s="154">
        <f t="shared" si="8"/>
        <v>777</v>
      </c>
    </row>
    <row r="147" spans="12:13" x14ac:dyDescent="0.2">
      <c r="L147" s="147"/>
      <c r="M147" s="147"/>
    </row>
    <row r="148" spans="12:13" x14ac:dyDescent="0.2">
      <c r="L148" s="110"/>
      <c r="M148" s="110"/>
    </row>
    <row r="149" spans="12:13" x14ac:dyDescent="0.2">
      <c r="L149" s="110"/>
      <c r="M149" s="110"/>
    </row>
    <row r="150" spans="12:13" x14ac:dyDescent="0.2">
      <c r="L150" s="110"/>
      <c r="M150" s="110"/>
    </row>
    <row r="151" spans="12:13" x14ac:dyDescent="0.2">
      <c r="L151" s="110"/>
      <c r="M151" s="110"/>
    </row>
    <row r="152" spans="12:13" x14ac:dyDescent="0.2">
      <c r="L152" s="110"/>
      <c r="M152" s="110"/>
    </row>
    <row r="153" spans="12:13" x14ac:dyDescent="0.2">
      <c r="L153" s="110"/>
      <c r="M153" s="110"/>
    </row>
    <row r="154" spans="12:13" x14ac:dyDescent="0.2">
      <c r="L154" s="110"/>
      <c r="M154" s="110"/>
    </row>
    <row r="155" spans="12:13" x14ac:dyDescent="0.2">
      <c r="L155" s="110"/>
      <c r="M155" s="110"/>
    </row>
  </sheetData>
  <sheetProtection algorithmName="SHA-512" hashValue="+vumu+TU0LeWaMW1a9H7dq3Jup4lTkb/W9WAGyPIxvDyrOcluNT9TC2N8AjTkTUpXPwGyP1T7lkRRuC1/BYB+Q==" saltValue="J9xsI6yZ6wk05nJrayHiUA==" spinCount="100000" sheet="1" objects="1" scenarios="1" selectLockedCells="1"/>
  <mergeCells count="12">
    <mergeCell ref="I116:O116"/>
    <mergeCell ref="U2:U3"/>
    <mergeCell ref="AD2:AD3"/>
    <mergeCell ref="I63:O63"/>
    <mergeCell ref="I78:O78"/>
    <mergeCell ref="I2:I3"/>
    <mergeCell ref="B2:B3"/>
    <mergeCell ref="C2:C3"/>
    <mergeCell ref="I34:O34"/>
    <mergeCell ref="I48:O48"/>
    <mergeCell ref="I102:O102"/>
    <mergeCell ref="B42:H44"/>
  </mergeCells>
  <phoneticPr fontId="14" type="noConversion"/>
  <pageMargins left="0.7" right="0.7" top="0.75" bottom="0.75" header="0.3" footer="0.3"/>
  <pageSetup paperSize="9" scale="79" orientation="portrait" r:id="rId1"/>
  <rowBreaks count="1" manualBreakCount="1">
    <brk id="44"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FEE90-F039-4BC5-9860-EA87447A11C3}">
  <sheetPr codeName="Foglio3"/>
  <dimension ref="A1:M202"/>
  <sheetViews>
    <sheetView showGridLines="0" zoomScaleNormal="100" workbookViewId="0">
      <selection activeCell="J52" sqref="J52"/>
    </sheetView>
  </sheetViews>
  <sheetFormatPr defaultRowHeight="12.75" x14ac:dyDescent="0.2"/>
  <cols>
    <col min="1" max="1" width="30.625" style="3" customWidth="1"/>
    <col min="2" max="2" width="40.625" customWidth="1"/>
    <col min="3" max="5" width="30.625" customWidth="1"/>
    <col min="7" max="7" width="71.625" customWidth="1"/>
    <col min="8" max="8" width="39.625" customWidth="1"/>
    <col min="12" max="12" width="9" customWidth="1"/>
  </cols>
  <sheetData>
    <row r="1" spans="1:13" ht="300" customHeight="1" x14ac:dyDescent="0.2">
      <c r="A1" s="99" t="str">
        <f>'LOCK-T'!AE60</f>
        <v>Muescado columna</v>
      </c>
      <c r="G1" s="99"/>
    </row>
    <row r="2" spans="1:13" ht="300" customHeight="1" x14ac:dyDescent="0.2">
      <c r="A2" s="99" t="str">
        <f>'LOCK-T'!AE61</f>
        <v>Muescado viga secundaria</v>
      </c>
    </row>
    <row r="3" spans="1:13" ht="300" customHeight="1" x14ac:dyDescent="0.2">
      <c r="A3" s="99" t="s">
        <v>214</v>
      </c>
      <c r="G3" s="125"/>
      <c r="M3" s="99"/>
    </row>
    <row r="4" spans="1:13" ht="300" customHeight="1" x14ac:dyDescent="0.2">
      <c r="A4" s="99" t="str">
        <f>'LOCK-T'!AE62</f>
        <v>Tornillos inclinados</v>
      </c>
      <c r="M4" s="99"/>
    </row>
    <row r="5" spans="1:13" ht="300" customHeight="1" x14ac:dyDescent="0.2">
      <c r="A5" s="99" t="str">
        <f>'LOCK-T'!AB60</f>
        <v>Muescado viga principal</v>
      </c>
      <c r="M5" s="99"/>
    </row>
    <row r="6" spans="1:13" ht="300" customHeight="1" x14ac:dyDescent="0.2">
      <c r="A6" s="99" t="str">
        <f>'LOCK-T'!AB61</f>
        <v>Muescado viga secundaria</v>
      </c>
      <c r="M6" s="99"/>
    </row>
    <row r="7" spans="1:13" ht="300" customHeight="1" x14ac:dyDescent="0.2">
      <c r="A7" s="99" t="s">
        <v>214</v>
      </c>
    </row>
    <row r="8" spans="1:13" ht="300" customHeight="1" x14ac:dyDescent="0.2">
      <c r="A8" s="99" t="str">
        <f>'LOCK-T'!AB62</f>
        <v>Tornillos inclinados</v>
      </c>
      <c r="E8" s="125"/>
    </row>
    <row r="9" spans="1:13" ht="300" customHeight="1" x14ac:dyDescent="0.2">
      <c r="A9" s="99"/>
      <c r="D9">
        <f>INDEX(IF('LOCK-T'!$H$72="Pilastro",IF('LOCK-T'!$H$99=1,Foglio2!$B$1:$B$4,Foglio2!$B$49:$B$52),IF('LOCK-T'!$H$99=1,Foglio2!$B$5:$B$9,Foglio2!$B$53:$B$57)),MATCH('LOCK-T'!$H$65,Foglio2!$A$1:$A$8,0))</f>
        <v>0</v>
      </c>
      <c r="E9" s="125"/>
    </row>
    <row r="10" spans="1:13" ht="300" customHeight="1" x14ac:dyDescent="0.2">
      <c r="A10" s="3" t="str">
        <f>'LOCK-T'!AA53</f>
        <v>Viga</v>
      </c>
      <c r="E10" s="125"/>
    </row>
    <row r="11" spans="1:13" ht="300" customHeight="1" x14ac:dyDescent="0.2">
      <c r="A11" s="3" t="str">
        <f>'LOCK-T'!AA54</f>
        <v>Pilar</v>
      </c>
    </row>
    <row r="12" spans="1:13" ht="99.95" customHeight="1" x14ac:dyDescent="0.2">
      <c r="A12" s="3" t="str">
        <f>'LOCK-T'!AC165</f>
        <v>Sí</v>
      </c>
    </row>
    <row r="13" spans="1:13" ht="120" customHeight="1" x14ac:dyDescent="0.2">
      <c r="A13" s="3" t="str">
        <f>'LOCK-T'!AB165</f>
        <v>No</v>
      </c>
    </row>
    <row r="14" spans="1:13" ht="39.950000000000003" customHeight="1" x14ac:dyDescent="0.2"/>
    <row r="15" spans="1:13" ht="39.950000000000003" customHeight="1" x14ac:dyDescent="0.2"/>
    <row r="16" spans="1:13" ht="39.950000000000003" customHeight="1" x14ac:dyDescent="0.2">
      <c r="A16" s="3" t="s">
        <v>141</v>
      </c>
    </row>
    <row r="17" spans="1:2" ht="39.950000000000003" customHeight="1" x14ac:dyDescent="0.2">
      <c r="A17" s="3">
        <v>1</v>
      </c>
      <c r="B17" s="213" t="str">
        <f>Translation!B125</f>
        <v>Se caracteriza por una humedad del material en equilibrio con el ambiente a una temperatura de 20°C y una humedad relativa del aire circundante que no supera el 65%, si no durante unas semanas al año.</v>
      </c>
    </row>
    <row r="18" spans="1:2" ht="39.950000000000003" customHeight="1" x14ac:dyDescent="0.2">
      <c r="A18" s="3">
        <v>2</v>
      </c>
      <c r="B18" s="213" t="str">
        <f>Translation!B126</f>
        <v>Se caracteriza por una humedad del material en equilibrio con el ambiente a una temperatura de 20°C y una humedad relativa del aire circundante de más del 85% durante solo unas semanas al año.</v>
      </c>
    </row>
    <row r="19" spans="1:2" ht="39.950000000000003" customHeight="1" x14ac:dyDescent="0.2">
      <c r="A19" s="3">
        <v>3</v>
      </c>
      <c r="B19" s="213" t="str">
        <f>Translation!B127</f>
        <v>Tiene una humedad más alta que la clase de servicio 2.</v>
      </c>
    </row>
    <row r="20" spans="1:2" ht="39.950000000000003" customHeight="1" x14ac:dyDescent="0.2"/>
    <row r="21" spans="1:2" ht="39.950000000000003" customHeight="1" x14ac:dyDescent="0.2">
      <c r="A21" s="3" t="s">
        <v>311</v>
      </c>
    </row>
    <row r="22" spans="1:2" ht="39.950000000000003" customHeight="1" x14ac:dyDescent="0.2">
      <c r="A22" s="3" t="str">
        <f>Translation!B128</f>
        <v>Permanente</v>
      </c>
      <c r="B22" s="213" t="str">
        <f>Translation!B133</f>
        <v>Peso propio y cargas no removibles durante el funcionamiento normal de la estructura.</v>
      </c>
    </row>
    <row r="23" spans="1:2" ht="39.950000000000003" customHeight="1" x14ac:dyDescent="0.2">
      <c r="A23" s="3" t="str">
        <f>Translation!B129</f>
        <v>Larga duración</v>
      </c>
      <c r="B23" s="213" t="str">
        <f>Translation!B134</f>
        <v>Cargas permanentes que pueden cambiar durante el funcionamiento normal de la estructura y cargas variables relacionadas con almacenes y depósitos.</v>
      </c>
    </row>
    <row r="24" spans="1:2" ht="39.950000000000003" customHeight="1" x14ac:dyDescent="0.2">
      <c r="A24" s="3" t="str">
        <f>Translation!B130</f>
        <v>Media duración</v>
      </c>
      <c r="B24" s="213" t="str">
        <f>Translation!B135</f>
        <v>Cargas variables de edificios, excepto las relativas a almacenes y depósitos.</v>
      </c>
    </row>
    <row r="25" spans="1:2" ht="39.950000000000003" customHeight="1" x14ac:dyDescent="0.2">
      <c r="A25" s="3" t="str">
        <f>Translation!B131</f>
        <v>Corta duración</v>
      </c>
      <c r="B25" s="213" t="str">
        <f>Translation!B136</f>
        <v>Acción media del viento</v>
      </c>
    </row>
    <row r="26" spans="1:2" ht="39.950000000000003" customHeight="1" x14ac:dyDescent="0.2">
      <c r="A26" s="3" t="str">
        <f>Translation!B132</f>
        <v>Instantáneo</v>
      </c>
      <c r="B26" s="213" t="str">
        <f>Translation!B137</f>
        <v>Acción de pico del viento y acciones excepcionales.</v>
      </c>
    </row>
    <row r="27" spans="1:2" ht="39.950000000000003" customHeight="1" x14ac:dyDescent="0.2"/>
    <row r="28" spans="1:2" ht="39.950000000000003" customHeight="1" x14ac:dyDescent="0.2"/>
    <row r="29" spans="1:2" ht="219.95" customHeight="1" x14ac:dyDescent="0.2">
      <c r="A29" s="3">
        <v>1</v>
      </c>
    </row>
    <row r="30" spans="1:2" ht="219.95" customHeight="1" x14ac:dyDescent="0.2">
      <c r="A30" s="3">
        <v>2</v>
      </c>
    </row>
    <row r="31" spans="1:2" ht="219.95" customHeight="1" x14ac:dyDescent="0.2"/>
    <row r="32" spans="1:2" ht="219.95" customHeight="1" x14ac:dyDescent="0.2"/>
    <row r="33" spans="6:6" ht="39.950000000000003" customHeight="1" x14ac:dyDescent="0.2"/>
    <row r="34" spans="6:6" ht="80.099999999999994" customHeight="1" x14ac:dyDescent="0.2">
      <c r="F34" t="s">
        <v>462</v>
      </c>
    </row>
    <row r="35" spans="6:6" ht="80.099999999999994" customHeight="1" x14ac:dyDescent="0.2">
      <c r="F35" t="s">
        <v>131</v>
      </c>
    </row>
    <row r="36" spans="6:6" ht="80.099999999999994" customHeight="1" x14ac:dyDescent="0.2">
      <c r="F36" t="s">
        <v>463</v>
      </c>
    </row>
    <row r="37" spans="6:6" ht="80.099999999999994" customHeight="1" x14ac:dyDescent="0.2">
      <c r="F37" t="s">
        <v>464</v>
      </c>
    </row>
    <row r="38" spans="6:6" ht="80.099999999999994" customHeight="1" x14ac:dyDescent="0.2">
      <c r="F38" t="s">
        <v>459</v>
      </c>
    </row>
    <row r="39" spans="6:6" ht="80.099999999999994" customHeight="1" x14ac:dyDescent="0.2">
      <c r="F39" t="s">
        <v>460</v>
      </c>
    </row>
    <row r="40" spans="6:6" ht="80.099999999999994" customHeight="1" x14ac:dyDescent="0.2">
      <c r="F40" t="s">
        <v>458</v>
      </c>
    </row>
    <row r="41" spans="6:6" ht="80.099999999999994" customHeight="1" x14ac:dyDescent="0.2">
      <c r="F41" t="s">
        <v>457</v>
      </c>
    </row>
    <row r="42" spans="6:6" ht="80.099999999999994" customHeight="1" x14ac:dyDescent="0.2">
      <c r="F42" t="s">
        <v>456</v>
      </c>
    </row>
    <row r="43" spans="6:6" ht="80.099999999999994" customHeight="1" x14ac:dyDescent="0.2">
      <c r="F43" t="s">
        <v>455</v>
      </c>
    </row>
    <row r="44" spans="6:6" ht="80.099999999999994" customHeight="1" x14ac:dyDescent="0.2">
      <c r="F44" t="s">
        <v>454</v>
      </c>
    </row>
    <row r="45" spans="6:6" ht="80.099999999999994" customHeight="1" x14ac:dyDescent="0.2">
      <c r="F45" t="s">
        <v>461</v>
      </c>
    </row>
    <row r="46" spans="6:6" ht="39.950000000000003" customHeight="1" x14ac:dyDescent="0.2"/>
    <row r="47" spans="6:6" ht="39.950000000000003" customHeight="1" x14ac:dyDescent="0.2"/>
    <row r="48" spans="6:6" ht="39.950000000000003" customHeight="1" x14ac:dyDescent="0.2"/>
    <row r="49" spans="1:1" ht="300" customHeight="1" x14ac:dyDescent="0.2">
      <c r="A49" s="3">
        <v>2</v>
      </c>
    </row>
    <row r="50" spans="1:1" ht="300" customHeight="1" x14ac:dyDescent="0.2"/>
    <row r="51" spans="1:1" ht="300" customHeight="1" x14ac:dyDescent="0.2"/>
    <row r="52" spans="1:1" ht="300" customHeight="1" x14ac:dyDescent="0.2"/>
    <row r="53" spans="1:1" ht="300" customHeight="1" x14ac:dyDescent="0.2"/>
    <row r="54" spans="1:1" ht="300" customHeight="1" x14ac:dyDescent="0.2"/>
    <row r="55" spans="1:1" ht="300" customHeight="1" x14ac:dyDescent="0.2"/>
    <row r="56" spans="1:1" ht="300" customHeight="1" x14ac:dyDescent="0.2"/>
    <row r="57" spans="1:1" ht="300" customHeight="1" x14ac:dyDescent="0.2"/>
    <row r="58" spans="1:1" ht="300" customHeight="1" x14ac:dyDescent="0.2"/>
    <row r="59" spans="1:1" ht="300" customHeight="1" x14ac:dyDescent="0.2"/>
    <row r="60" spans="1:1" ht="300" customHeight="1" x14ac:dyDescent="0.2"/>
    <row r="61" spans="1:1" ht="300" customHeight="1" x14ac:dyDescent="0.2"/>
    <row r="62" spans="1:1" ht="300" customHeight="1" x14ac:dyDescent="0.2"/>
    <row r="63" spans="1:1" ht="300" customHeight="1" x14ac:dyDescent="0.2"/>
    <row r="64" spans="1:1" ht="300" customHeight="1" x14ac:dyDescent="0.2"/>
    <row r="65" ht="300" customHeight="1" x14ac:dyDescent="0.2"/>
    <row r="66" ht="300" customHeight="1" x14ac:dyDescent="0.2"/>
    <row r="67" ht="300" customHeight="1" x14ac:dyDescent="0.2"/>
    <row r="68" ht="300" customHeight="1" x14ac:dyDescent="0.2"/>
    <row r="69" ht="300" customHeight="1" x14ac:dyDescent="0.2"/>
    <row r="70" ht="300" customHeight="1" x14ac:dyDescent="0.2"/>
    <row r="71" ht="300" customHeight="1" x14ac:dyDescent="0.2"/>
    <row r="72" ht="300" customHeight="1" x14ac:dyDescent="0.2"/>
    <row r="73" ht="300" customHeight="1" x14ac:dyDescent="0.2"/>
    <row r="74" ht="39.950000000000003" customHeight="1" x14ac:dyDescent="0.2"/>
    <row r="75" ht="39.950000000000003" customHeight="1" x14ac:dyDescent="0.2"/>
    <row r="76" ht="39.950000000000003" customHeight="1" x14ac:dyDescent="0.2"/>
    <row r="77" ht="39.950000000000003" customHeight="1" x14ac:dyDescent="0.2"/>
    <row r="78" ht="39.950000000000003" customHeight="1" x14ac:dyDescent="0.2"/>
    <row r="79" ht="39.950000000000003" customHeight="1" x14ac:dyDescent="0.2"/>
    <row r="80" ht="39.950000000000003" customHeight="1" x14ac:dyDescent="0.2"/>
    <row r="81" ht="39.950000000000003" customHeight="1" x14ac:dyDescent="0.2"/>
    <row r="82" ht="39.950000000000003" customHeight="1" x14ac:dyDescent="0.2"/>
    <row r="83" ht="39.950000000000003" customHeight="1" x14ac:dyDescent="0.2"/>
    <row r="84" ht="39.950000000000003" customHeight="1" x14ac:dyDescent="0.2"/>
    <row r="85" ht="39.950000000000003" customHeight="1" x14ac:dyDescent="0.2"/>
    <row r="86" ht="39.950000000000003" customHeight="1" x14ac:dyDescent="0.2"/>
    <row r="87" ht="39.950000000000003" customHeight="1" x14ac:dyDescent="0.2"/>
    <row r="88" ht="39.950000000000003" customHeight="1" x14ac:dyDescent="0.2"/>
    <row r="89" ht="39.950000000000003" customHeight="1" x14ac:dyDescent="0.2"/>
    <row r="90" ht="39.950000000000003" customHeight="1" x14ac:dyDescent="0.2"/>
    <row r="91" ht="39.950000000000003" customHeight="1" x14ac:dyDescent="0.2"/>
    <row r="92" ht="39.950000000000003" customHeight="1" x14ac:dyDescent="0.2"/>
    <row r="93" ht="39.950000000000003" customHeight="1" x14ac:dyDescent="0.2"/>
    <row r="94" ht="39.950000000000003" customHeight="1" x14ac:dyDescent="0.2"/>
    <row r="95" ht="39.950000000000003" customHeight="1" x14ac:dyDescent="0.2"/>
    <row r="96" ht="39.950000000000003" customHeight="1" x14ac:dyDescent="0.2"/>
    <row r="97" ht="39.950000000000003" customHeight="1" x14ac:dyDescent="0.2"/>
    <row r="98" ht="39.950000000000003" customHeight="1" x14ac:dyDescent="0.2"/>
    <row r="99" ht="39.950000000000003" customHeight="1" x14ac:dyDescent="0.2"/>
    <row r="100" ht="39.950000000000003" customHeight="1" x14ac:dyDescent="0.2"/>
    <row r="101" ht="39.950000000000003" customHeight="1" x14ac:dyDescent="0.2"/>
    <row r="102" ht="39.950000000000003" customHeight="1" x14ac:dyDescent="0.2"/>
    <row r="103" ht="39.950000000000003" customHeight="1" x14ac:dyDescent="0.2"/>
    <row r="104" ht="39.950000000000003" customHeight="1" x14ac:dyDescent="0.2"/>
    <row r="105" ht="39.950000000000003" customHeight="1" x14ac:dyDescent="0.2"/>
    <row r="106" ht="39.950000000000003" customHeight="1" x14ac:dyDescent="0.2"/>
    <row r="107" ht="39.950000000000003" customHeight="1" x14ac:dyDescent="0.2"/>
    <row r="108" ht="39.950000000000003" customHeight="1" x14ac:dyDescent="0.2"/>
    <row r="109" ht="39.950000000000003" customHeight="1" x14ac:dyDescent="0.2"/>
    <row r="110" ht="39.950000000000003" customHeight="1" x14ac:dyDescent="0.2"/>
    <row r="111" ht="39.950000000000003" customHeight="1" x14ac:dyDescent="0.2"/>
    <row r="112" ht="39.950000000000003" customHeight="1" x14ac:dyDescent="0.2"/>
    <row r="113" ht="39.950000000000003" customHeight="1" x14ac:dyDescent="0.2"/>
    <row r="114" ht="39.950000000000003" customHeight="1" x14ac:dyDescent="0.2"/>
    <row r="115" ht="39.950000000000003" customHeight="1" x14ac:dyDescent="0.2"/>
    <row r="116" ht="39.950000000000003" customHeight="1" x14ac:dyDescent="0.2"/>
    <row r="117" ht="39.950000000000003" customHeight="1" x14ac:dyDescent="0.2"/>
    <row r="118" ht="39.950000000000003" customHeight="1" x14ac:dyDescent="0.2"/>
    <row r="119" ht="39.950000000000003" customHeight="1" x14ac:dyDescent="0.2"/>
    <row r="120" ht="39.950000000000003" customHeight="1" x14ac:dyDescent="0.2"/>
    <row r="121" ht="39.950000000000003" customHeight="1" x14ac:dyDescent="0.2"/>
    <row r="122" ht="39.950000000000003" customHeight="1" x14ac:dyDescent="0.2"/>
    <row r="123" ht="39.950000000000003" customHeight="1" x14ac:dyDescent="0.2"/>
    <row r="124" ht="39.950000000000003" customHeight="1" x14ac:dyDescent="0.2"/>
    <row r="125" ht="39.950000000000003" customHeight="1" x14ac:dyDescent="0.2"/>
    <row r="126" ht="39.950000000000003" customHeight="1" x14ac:dyDescent="0.2"/>
    <row r="127" ht="39.950000000000003" customHeight="1" x14ac:dyDescent="0.2"/>
    <row r="128" ht="39.950000000000003" customHeight="1" x14ac:dyDescent="0.2"/>
    <row r="129" ht="39.950000000000003" customHeight="1" x14ac:dyDescent="0.2"/>
    <row r="130" ht="39.950000000000003" customHeight="1" x14ac:dyDescent="0.2"/>
    <row r="131" ht="39.950000000000003" customHeight="1" x14ac:dyDescent="0.2"/>
    <row r="132" ht="39.950000000000003" customHeight="1" x14ac:dyDescent="0.2"/>
    <row r="133" ht="39.950000000000003" customHeight="1" x14ac:dyDescent="0.2"/>
    <row r="134" ht="39.950000000000003" customHeight="1" x14ac:dyDescent="0.2"/>
    <row r="135" ht="39.950000000000003" customHeight="1" x14ac:dyDescent="0.2"/>
    <row r="136" ht="39.950000000000003" customHeight="1" x14ac:dyDescent="0.2"/>
    <row r="137" ht="39.950000000000003" customHeight="1" x14ac:dyDescent="0.2"/>
    <row r="138" ht="39.950000000000003" customHeight="1" x14ac:dyDescent="0.2"/>
    <row r="139" ht="39.950000000000003" customHeight="1" x14ac:dyDescent="0.2"/>
    <row r="140" ht="39.950000000000003" customHeight="1" x14ac:dyDescent="0.2"/>
    <row r="141" ht="39.950000000000003" customHeight="1" x14ac:dyDescent="0.2"/>
    <row r="142" ht="39.950000000000003" customHeight="1" x14ac:dyDescent="0.2"/>
    <row r="143" ht="39.950000000000003" customHeight="1" x14ac:dyDescent="0.2"/>
    <row r="144" ht="39.950000000000003" customHeight="1" x14ac:dyDescent="0.2"/>
    <row r="145" ht="39.950000000000003" customHeight="1" x14ac:dyDescent="0.2"/>
    <row r="146" ht="39.950000000000003" customHeight="1" x14ac:dyDescent="0.2"/>
    <row r="147" ht="39.950000000000003" customHeight="1" x14ac:dyDescent="0.2"/>
    <row r="148" ht="39.950000000000003" customHeight="1" x14ac:dyDescent="0.2"/>
    <row r="149" ht="39.950000000000003" customHeight="1" x14ac:dyDescent="0.2"/>
    <row r="150" ht="39.950000000000003" customHeight="1" x14ac:dyDescent="0.2"/>
    <row r="151" ht="39.950000000000003" customHeight="1" x14ac:dyDescent="0.2"/>
    <row r="152" ht="39.950000000000003" customHeight="1" x14ac:dyDescent="0.2"/>
    <row r="153" ht="39.950000000000003" customHeight="1" x14ac:dyDescent="0.2"/>
    <row r="154" ht="39.950000000000003" customHeight="1" x14ac:dyDescent="0.2"/>
    <row r="155" ht="39.950000000000003" customHeight="1" x14ac:dyDescent="0.2"/>
    <row r="156" ht="39.950000000000003" customHeight="1" x14ac:dyDescent="0.2"/>
    <row r="157" ht="39.950000000000003" customHeight="1" x14ac:dyDescent="0.2"/>
    <row r="158" ht="39.950000000000003" customHeight="1" x14ac:dyDescent="0.2"/>
    <row r="159" ht="39.950000000000003" customHeight="1" x14ac:dyDescent="0.2"/>
    <row r="160" ht="39.950000000000003" customHeight="1" x14ac:dyDescent="0.2"/>
    <row r="161" ht="39.950000000000003" customHeight="1" x14ac:dyDescent="0.2"/>
    <row r="162" ht="39.950000000000003" customHeight="1" x14ac:dyDescent="0.2"/>
    <row r="163" ht="39.950000000000003" customHeight="1" x14ac:dyDescent="0.2"/>
    <row r="164" ht="39.950000000000003" customHeight="1" x14ac:dyDescent="0.2"/>
    <row r="165" ht="39.950000000000003" customHeight="1" x14ac:dyDescent="0.2"/>
    <row r="166" ht="39.950000000000003" customHeight="1" x14ac:dyDescent="0.2"/>
    <row r="167" ht="39.950000000000003" customHeight="1" x14ac:dyDescent="0.2"/>
    <row r="168" ht="39.950000000000003" customHeight="1" x14ac:dyDescent="0.2"/>
    <row r="169" ht="39.950000000000003" customHeight="1" x14ac:dyDescent="0.2"/>
    <row r="170" ht="39.950000000000003" customHeight="1" x14ac:dyDescent="0.2"/>
    <row r="171" ht="39.950000000000003" customHeight="1" x14ac:dyDescent="0.2"/>
    <row r="172" ht="39.950000000000003" customHeight="1" x14ac:dyDescent="0.2"/>
    <row r="173" ht="39.950000000000003" customHeight="1" x14ac:dyDescent="0.2"/>
    <row r="174" ht="39.950000000000003" customHeight="1" x14ac:dyDescent="0.2"/>
    <row r="175" ht="39.950000000000003" customHeight="1" x14ac:dyDescent="0.2"/>
    <row r="176" ht="39.950000000000003" customHeight="1" x14ac:dyDescent="0.2"/>
    <row r="177" ht="39.950000000000003" customHeight="1" x14ac:dyDescent="0.2"/>
    <row r="178" ht="39.950000000000003" customHeight="1" x14ac:dyDescent="0.2"/>
    <row r="179" ht="39.950000000000003" customHeight="1" x14ac:dyDescent="0.2"/>
    <row r="180" ht="39.950000000000003" customHeight="1" x14ac:dyDescent="0.2"/>
    <row r="181" ht="39.950000000000003" customHeight="1" x14ac:dyDescent="0.2"/>
    <row r="182" ht="39.950000000000003" customHeight="1" x14ac:dyDescent="0.2"/>
    <row r="183" ht="39.950000000000003" customHeight="1" x14ac:dyDescent="0.2"/>
    <row r="184" ht="39.950000000000003" customHeight="1" x14ac:dyDescent="0.2"/>
    <row r="185" ht="39.950000000000003" customHeight="1" x14ac:dyDescent="0.2"/>
    <row r="186" ht="39.950000000000003" customHeight="1" x14ac:dyDescent="0.2"/>
    <row r="187" ht="39.950000000000003" customHeight="1" x14ac:dyDescent="0.2"/>
    <row r="188" ht="39.950000000000003" customHeight="1" x14ac:dyDescent="0.2"/>
    <row r="189" ht="39.950000000000003" customHeight="1" x14ac:dyDescent="0.2"/>
    <row r="190" ht="39.950000000000003" customHeight="1" x14ac:dyDescent="0.2"/>
    <row r="191" ht="39.950000000000003" customHeight="1" x14ac:dyDescent="0.2"/>
    <row r="192" ht="39.950000000000003" customHeight="1" x14ac:dyDescent="0.2"/>
    <row r="193" ht="39.950000000000003" customHeight="1" x14ac:dyDescent="0.2"/>
    <row r="194" ht="39.950000000000003" customHeight="1" x14ac:dyDescent="0.2"/>
    <row r="195" ht="39.950000000000003" customHeight="1" x14ac:dyDescent="0.2"/>
    <row r="196" ht="39.950000000000003" customHeight="1" x14ac:dyDescent="0.2"/>
    <row r="197" ht="39.950000000000003" customHeight="1" x14ac:dyDescent="0.2"/>
    <row r="198" ht="39.950000000000003" customHeight="1" x14ac:dyDescent="0.2"/>
    <row r="199" ht="99.95" customHeight="1" x14ac:dyDescent="0.2"/>
    <row r="200" ht="99.95" customHeight="1" x14ac:dyDescent="0.2"/>
    <row r="201" ht="99.95" customHeight="1" x14ac:dyDescent="0.2"/>
    <row r="202" ht="99.95" customHeight="1" x14ac:dyDescent="0.2"/>
  </sheetData>
  <sheetProtection algorithmName="SHA-512" hashValue="KCqy+0mgvKISEe4x5VEQH1qp6VvR/cApYUksCg8GCQA8Uw8bpxqMWNG+vKA/6gLNP7M+bG9pQTFeRY4NvG2yRg==" saltValue="eDrrja3AcOENQu3cyuetOQ==" spinCount="100000" sheet="1" objects="1" scenarios="1" selectLockedCells="1"/>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EADD-7324-401E-92D7-033BEB91F7C6}">
  <sheetPr codeName="Foglio13"/>
  <dimension ref="A1:S210"/>
  <sheetViews>
    <sheetView showGridLines="0" zoomScale="70" zoomScaleNormal="70" workbookViewId="0">
      <pane ySplit="1" topLeftCell="A2" activePane="bottomLeft" state="frozen"/>
      <selection activeCell="J52" sqref="J52"/>
      <selection pane="bottomLeft" activeCell="J52" sqref="J52"/>
    </sheetView>
  </sheetViews>
  <sheetFormatPr defaultRowHeight="30" customHeight="1" x14ac:dyDescent="0.2"/>
  <cols>
    <col min="1" max="1" width="9" style="2"/>
    <col min="2" max="2" width="30.625" style="331" customWidth="1"/>
    <col min="4" max="5" width="30.625" customWidth="1"/>
    <col min="6" max="6" width="30.625" style="336" customWidth="1"/>
    <col min="7" max="9" width="30.625" customWidth="1"/>
    <col min="18" max="18" width="30.625" customWidth="1"/>
  </cols>
  <sheetData>
    <row r="1" spans="1:19" ht="30" customHeight="1" x14ac:dyDescent="0.2">
      <c r="A1" s="2">
        <v>1</v>
      </c>
      <c r="B1" s="331" t="str">
        <f>'LOCK-T'!M34</f>
        <v>ES</v>
      </c>
      <c r="D1" s="332" t="s">
        <v>525</v>
      </c>
      <c r="E1" s="332" t="s">
        <v>526</v>
      </c>
      <c r="F1" s="332" t="s">
        <v>527</v>
      </c>
      <c r="G1" s="332" t="s">
        <v>528</v>
      </c>
      <c r="H1" s="332" t="s">
        <v>529</v>
      </c>
      <c r="I1" s="332" t="s">
        <v>530</v>
      </c>
      <c r="R1" s="332"/>
    </row>
    <row r="2" spans="1:19" ht="30" customHeight="1" x14ac:dyDescent="0.2">
      <c r="A2" s="2">
        <v>2</v>
      </c>
      <c r="B2" s="331" t="str">
        <f>HLOOKUP($B$1,$D$1:$I$206,A2,FALSE)</f>
        <v>Sí</v>
      </c>
      <c r="D2" s="331" t="s">
        <v>531</v>
      </c>
      <c r="E2" s="331" t="s">
        <v>532</v>
      </c>
      <c r="F2" s="333" t="s">
        <v>533</v>
      </c>
      <c r="G2" s="331" t="s">
        <v>534</v>
      </c>
      <c r="H2" s="331" t="s">
        <v>535</v>
      </c>
      <c r="I2" s="331" t="s">
        <v>536</v>
      </c>
      <c r="R2" s="331"/>
      <c r="S2">
        <f>IF(R2=G2,0,1111)</f>
        <v>1111</v>
      </c>
    </row>
    <row r="3" spans="1:19" ht="30" customHeight="1" x14ac:dyDescent="0.2">
      <c r="A3" s="2">
        <v>3</v>
      </c>
      <c r="B3" s="331" t="str">
        <f t="shared" ref="B3:B66" si="0">HLOOKUP($B$1,$D$1:$I$206,A3,FALSE)</f>
        <v>No</v>
      </c>
      <c r="D3" s="331" t="s">
        <v>537</v>
      </c>
      <c r="E3" s="331" t="s">
        <v>537</v>
      </c>
      <c r="F3" s="333" t="s">
        <v>538</v>
      </c>
      <c r="G3" s="331" t="s">
        <v>539</v>
      </c>
      <c r="H3" s="331" t="s">
        <v>537</v>
      </c>
      <c r="I3" s="331" t="s">
        <v>540</v>
      </c>
      <c r="R3" s="331"/>
      <c r="S3">
        <f t="shared" ref="S3:S66" si="1">IF(R3=G3,0,1111)</f>
        <v>1111</v>
      </c>
    </row>
    <row r="4" spans="1:19" ht="30" customHeight="1" x14ac:dyDescent="0.2">
      <c r="A4" s="2">
        <v>4</v>
      </c>
      <c r="B4" s="331" t="str">
        <f t="shared" si="0"/>
        <v>Viga</v>
      </c>
      <c r="D4" s="331" t="s">
        <v>3</v>
      </c>
      <c r="E4" s="331" t="s">
        <v>541</v>
      </c>
      <c r="F4" s="333" t="s">
        <v>542</v>
      </c>
      <c r="G4" s="331" t="s">
        <v>543</v>
      </c>
      <c r="H4" s="331" t="s">
        <v>544</v>
      </c>
      <c r="I4" s="331" t="s">
        <v>544</v>
      </c>
      <c r="R4" s="331"/>
      <c r="S4">
        <f t="shared" si="1"/>
        <v>1111</v>
      </c>
    </row>
    <row r="5" spans="1:19" ht="30" customHeight="1" x14ac:dyDescent="0.2">
      <c r="A5" s="2">
        <v>5</v>
      </c>
      <c r="B5" s="331" t="str">
        <f t="shared" si="0"/>
        <v>Pilar</v>
      </c>
      <c r="D5" s="331" t="s">
        <v>240</v>
      </c>
      <c r="E5" s="331" t="s">
        <v>545</v>
      </c>
      <c r="F5" s="333" t="s">
        <v>546</v>
      </c>
      <c r="G5" s="331" t="s">
        <v>547</v>
      </c>
      <c r="H5" s="331" t="s">
        <v>548</v>
      </c>
      <c r="I5" s="331" t="s">
        <v>548</v>
      </c>
      <c r="R5" s="331"/>
      <c r="S5">
        <f t="shared" si="1"/>
        <v>1111</v>
      </c>
    </row>
    <row r="6" spans="1:19" ht="30" customHeight="1" x14ac:dyDescent="0.2">
      <c r="A6" s="2">
        <v>6</v>
      </c>
      <c r="B6" s="331" t="str">
        <f t="shared" si="0"/>
        <v>Muescado columna</v>
      </c>
      <c r="D6" s="331" t="s">
        <v>217</v>
      </c>
      <c r="E6" s="331" t="s">
        <v>180</v>
      </c>
      <c r="F6" s="333" t="s">
        <v>1134</v>
      </c>
      <c r="G6" s="331" t="s">
        <v>549</v>
      </c>
      <c r="H6" s="331" t="s">
        <v>550</v>
      </c>
      <c r="I6" s="331" t="s">
        <v>551</v>
      </c>
      <c r="R6" s="331"/>
      <c r="S6">
        <f t="shared" si="1"/>
        <v>1111</v>
      </c>
    </row>
    <row r="7" spans="1:19" ht="30" customHeight="1" x14ac:dyDescent="0.2">
      <c r="A7" s="2">
        <v>7</v>
      </c>
      <c r="B7" s="331" t="str">
        <f t="shared" si="0"/>
        <v>Muescado viga principal</v>
      </c>
      <c r="D7" s="331" t="s">
        <v>216</v>
      </c>
      <c r="E7" s="331" t="s">
        <v>1121</v>
      </c>
      <c r="F7" s="333" t="s">
        <v>1135</v>
      </c>
      <c r="G7" s="331" t="s">
        <v>552</v>
      </c>
      <c r="H7" s="331" t="s">
        <v>553</v>
      </c>
      <c r="I7" s="331" t="s">
        <v>554</v>
      </c>
      <c r="R7" s="331"/>
      <c r="S7">
        <f t="shared" si="1"/>
        <v>1111</v>
      </c>
    </row>
    <row r="8" spans="1:19" ht="30" customHeight="1" x14ac:dyDescent="0.2">
      <c r="A8" s="2">
        <v>8</v>
      </c>
      <c r="B8" s="331" t="str">
        <f t="shared" si="0"/>
        <v>Muescado viga secundaria</v>
      </c>
      <c r="D8" s="331" t="s">
        <v>218</v>
      </c>
      <c r="E8" s="331" t="s">
        <v>1122</v>
      </c>
      <c r="F8" s="333" t="s">
        <v>1136</v>
      </c>
      <c r="G8" s="331" t="s">
        <v>555</v>
      </c>
      <c r="H8" s="331" t="s">
        <v>556</v>
      </c>
      <c r="I8" s="331" t="s">
        <v>557</v>
      </c>
      <c r="R8" s="331"/>
      <c r="S8">
        <f t="shared" si="1"/>
        <v>1111</v>
      </c>
    </row>
    <row r="9" spans="1:19" ht="35.1" customHeight="1" x14ac:dyDescent="0.2">
      <c r="A9" s="2">
        <v>9</v>
      </c>
      <c r="B9" s="331" t="str">
        <f t="shared" si="0"/>
        <v>Tornillos inclinados</v>
      </c>
      <c r="D9" s="331" t="s">
        <v>219</v>
      </c>
      <c r="E9" s="331" t="s">
        <v>558</v>
      </c>
      <c r="F9" s="333" t="s">
        <v>559</v>
      </c>
      <c r="G9" s="331" t="s">
        <v>560</v>
      </c>
      <c r="H9" s="331" t="s">
        <v>561</v>
      </c>
      <c r="I9" s="331" t="s">
        <v>562</v>
      </c>
      <c r="L9" t="s">
        <v>515</v>
      </c>
      <c r="R9" s="331"/>
      <c r="S9">
        <f t="shared" si="1"/>
        <v>1111</v>
      </c>
    </row>
    <row r="10" spans="1:19" ht="35.1" customHeight="1" x14ac:dyDescent="0.2">
      <c r="A10" s="2">
        <v>10</v>
      </c>
      <c r="B10" s="331" t="str">
        <f t="shared" si="0"/>
        <v>Geometría y características de los tornillos</v>
      </c>
      <c r="D10" s="331" t="s">
        <v>8</v>
      </c>
      <c r="E10" s="331" t="s">
        <v>563</v>
      </c>
      <c r="F10" s="333" t="s">
        <v>564</v>
      </c>
      <c r="G10" s="331" t="s">
        <v>565</v>
      </c>
      <c r="H10" s="331" t="s">
        <v>566</v>
      </c>
      <c r="I10" s="331" t="s">
        <v>567</v>
      </c>
      <c r="L10" t="s">
        <v>516</v>
      </c>
      <c r="R10" s="331"/>
      <c r="S10">
        <f t="shared" si="1"/>
        <v>1111</v>
      </c>
    </row>
    <row r="11" spans="1:19" ht="35.1" customHeight="1" x14ac:dyDescent="0.2">
      <c r="A11" s="2">
        <v>11</v>
      </c>
      <c r="B11" s="331" t="str">
        <f t="shared" si="0"/>
        <v>Tipo de tornillo</v>
      </c>
      <c r="D11" s="331" t="s">
        <v>9</v>
      </c>
      <c r="E11" s="331" t="s">
        <v>568</v>
      </c>
      <c r="F11" s="333" t="s">
        <v>1137</v>
      </c>
      <c r="G11" s="331" t="s">
        <v>569</v>
      </c>
      <c r="H11" s="331" t="s">
        <v>570</v>
      </c>
      <c r="I11" s="331" t="s">
        <v>571</v>
      </c>
      <c r="L11" t="s">
        <v>520</v>
      </c>
      <c r="R11" s="331"/>
      <c r="S11">
        <f t="shared" si="1"/>
        <v>1111</v>
      </c>
    </row>
    <row r="12" spans="1:19" ht="35.1" customHeight="1" x14ac:dyDescent="0.2">
      <c r="A12" s="2">
        <v>12</v>
      </c>
      <c r="B12" s="331" t="str">
        <f t="shared" si="0"/>
        <v>Diámetro</v>
      </c>
      <c r="D12" s="331" t="s">
        <v>10</v>
      </c>
      <c r="E12" s="331" t="s">
        <v>572</v>
      </c>
      <c r="F12" s="333" t="s">
        <v>573</v>
      </c>
      <c r="G12" s="331" t="s">
        <v>574</v>
      </c>
      <c r="H12" s="331" t="s">
        <v>575</v>
      </c>
      <c r="I12" s="331" t="s">
        <v>576</v>
      </c>
      <c r="L12" t="s">
        <v>517</v>
      </c>
      <c r="R12" s="331"/>
      <c r="S12">
        <f t="shared" si="1"/>
        <v>1111</v>
      </c>
    </row>
    <row r="13" spans="1:19" ht="35.1" customHeight="1" x14ac:dyDescent="0.2">
      <c r="A13" s="2">
        <v>13</v>
      </c>
      <c r="B13" s="331" t="str">
        <f t="shared" si="0"/>
        <v>Longitud</v>
      </c>
      <c r="D13" s="331" t="s">
        <v>11</v>
      </c>
      <c r="E13" s="331" t="s">
        <v>577</v>
      </c>
      <c r="F13" s="333" t="s">
        <v>578</v>
      </c>
      <c r="G13" s="331" t="s">
        <v>579</v>
      </c>
      <c r="H13" s="331" t="s">
        <v>580</v>
      </c>
      <c r="I13" s="331" t="s">
        <v>581</v>
      </c>
      <c r="L13" t="s">
        <v>518</v>
      </c>
      <c r="R13" s="331"/>
      <c r="S13">
        <f t="shared" si="1"/>
        <v>1111</v>
      </c>
    </row>
    <row r="14" spans="1:19" ht="35.1" customHeight="1" x14ac:dyDescent="0.2">
      <c r="A14" s="2">
        <v>14</v>
      </c>
      <c r="B14" s="331" t="str">
        <f t="shared" si="0"/>
        <v>Rosca</v>
      </c>
      <c r="D14" s="331" t="s">
        <v>582</v>
      </c>
      <c r="E14" s="331" t="s">
        <v>583</v>
      </c>
      <c r="F14" s="333" t="s">
        <v>584</v>
      </c>
      <c r="G14" s="331" t="s">
        <v>585</v>
      </c>
      <c r="H14" s="331" t="s">
        <v>586</v>
      </c>
      <c r="I14" s="331" t="s">
        <v>586</v>
      </c>
      <c r="L14" t="s">
        <v>519</v>
      </c>
      <c r="R14" s="331"/>
      <c r="S14">
        <f t="shared" si="1"/>
        <v>1111</v>
      </c>
    </row>
    <row r="15" spans="1:19" ht="30" customHeight="1" x14ac:dyDescent="0.2">
      <c r="A15" s="2">
        <v>15</v>
      </c>
      <c r="B15" s="331" t="str">
        <f t="shared" si="0"/>
        <v>Madera</v>
      </c>
      <c r="D15" s="331" t="s">
        <v>45</v>
      </c>
      <c r="E15" s="331" t="s">
        <v>1127</v>
      </c>
      <c r="F15" s="333" t="s">
        <v>587</v>
      </c>
      <c r="G15" s="331" t="s">
        <v>588</v>
      </c>
      <c r="H15" s="331" t="s">
        <v>589</v>
      </c>
      <c r="I15" s="331" t="s">
        <v>590</v>
      </c>
      <c r="R15" s="331"/>
      <c r="S15">
        <f t="shared" si="1"/>
        <v>1111</v>
      </c>
    </row>
    <row r="16" spans="1:19" ht="134.25" customHeight="1" x14ac:dyDescent="0.2">
      <c r="A16" s="2">
        <v>16</v>
      </c>
      <c r="B16" s="331" t="str">
        <f t="shared" si="0"/>
        <v>Para tornillos de fijación sobre el elemento principal y/o secundario, con densidad característica ρk≤420 kg/m3, el pre-agujero no es obligatorio. Para viga principal y/o secundaria con densidad característica ρk&gt;420 kg/m3, el pre-agujero es obligatorio. Para tornillos en pilares, el pre-agujero siempre es obligatorio.</v>
      </c>
      <c r="D16" s="331" t="s">
        <v>591</v>
      </c>
      <c r="E16" s="331" t="s">
        <v>592</v>
      </c>
      <c r="F16" s="333" t="s">
        <v>1174</v>
      </c>
      <c r="G16" s="331" t="s">
        <v>593</v>
      </c>
      <c r="H16" s="331" t="s">
        <v>1219</v>
      </c>
      <c r="I16" s="331" t="s">
        <v>594</v>
      </c>
      <c r="R16" s="331"/>
      <c r="S16">
        <f t="shared" si="1"/>
        <v>1111</v>
      </c>
    </row>
    <row r="17" spans="1:19" ht="30" customHeight="1" x14ac:dyDescent="0.2">
      <c r="A17" s="2">
        <v>17</v>
      </c>
      <c r="B17" s="331" t="str">
        <f t="shared" si="0"/>
        <v>PORCENTAJE DE USO DE LA CONEXIÓN</v>
      </c>
      <c r="D17" s="331" t="s">
        <v>484</v>
      </c>
      <c r="E17" s="331" t="s">
        <v>1123</v>
      </c>
      <c r="F17" s="333" t="s">
        <v>1175</v>
      </c>
      <c r="G17" s="331" t="s">
        <v>595</v>
      </c>
      <c r="H17" s="331" t="s">
        <v>596</v>
      </c>
      <c r="I17" s="331" t="s">
        <v>1129</v>
      </c>
      <c r="R17" s="331"/>
      <c r="S17">
        <f t="shared" si="1"/>
        <v>1111</v>
      </c>
    </row>
    <row r="18" spans="1:19" ht="30" customHeight="1" x14ac:dyDescent="0.2">
      <c r="A18" s="2">
        <v>18</v>
      </c>
      <c r="B18" s="331" t="str">
        <f t="shared" si="0"/>
        <v>6.1 Corte vertical (Fv)</v>
      </c>
      <c r="D18" s="331" t="s">
        <v>481</v>
      </c>
      <c r="E18" s="331" t="s">
        <v>597</v>
      </c>
      <c r="F18" s="333" t="s">
        <v>1176</v>
      </c>
      <c r="G18" s="331" t="s">
        <v>598</v>
      </c>
      <c r="H18" s="331" t="s">
        <v>599</v>
      </c>
      <c r="I18" s="331" t="s">
        <v>599</v>
      </c>
      <c r="R18" s="331"/>
      <c r="S18">
        <f t="shared" si="1"/>
        <v>1111</v>
      </c>
    </row>
    <row r="19" spans="1:19" ht="30" customHeight="1" x14ac:dyDescent="0.2">
      <c r="A19" s="2">
        <v>19</v>
      </c>
      <c r="B19" s="331" t="str">
        <f t="shared" si="0"/>
        <v>6.2 Corte elevación (Fup)</v>
      </c>
      <c r="D19" s="331" t="s">
        <v>497</v>
      </c>
      <c r="E19" s="331" t="s">
        <v>600</v>
      </c>
      <c r="F19" s="333" t="s">
        <v>1138</v>
      </c>
      <c r="G19" s="331" t="s">
        <v>601</v>
      </c>
      <c r="H19" s="331" t="s">
        <v>602</v>
      </c>
      <c r="I19" s="331" t="s">
        <v>1131</v>
      </c>
      <c r="R19" s="331"/>
      <c r="S19">
        <f t="shared" si="1"/>
        <v>1111</v>
      </c>
    </row>
    <row r="20" spans="1:19" ht="30" customHeight="1" x14ac:dyDescent="0.2">
      <c r="A20" s="2">
        <v>20</v>
      </c>
      <c r="B20" s="331" t="str">
        <f t="shared" si="0"/>
        <v>7. Solicitación combinada</v>
      </c>
      <c r="D20" s="331" t="s">
        <v>485</v>
      </c>
      <c r="E20" s="331" t="s">
        <v>603</v>
      </c>
      <c r="F20" s="333" t="s">
        <v>1139</v>
      </c>
      <c r="G20" s="331" t="s">
        <v>604</v>
      </c>
      <c r="H20" s="331" t="s">
        <v>605</v>
      </c>
      <c r="I20" s="331" t="s">
        <v>1130</v>
      </c>
      <c r="R20" s="331"/>
      <c r="S20">
        <f t="shared" si="1"/>
        <v>1111</v>
      </c>
    </row>
    <row r="21" spans="1:19" ht="30" customHeight="1" x14ac:dyDescent="0.2">
      <c r="A21" s="2">
        <v>21</v>
      </c>
      <c r="B21" s="331" t="str">
        <f t="shared" si="0"/>
        <v>6.3 Axial (Fax)</v>
      </c>
      <c r="D21" s="331" t="s">
        <v>482</v>
      </c>
      <c r="E21" s="331" t="s">
        <v>606</v>
      </c>
      <c r="F21" s="333" t="s">
        <v>606</v>
      </c>
      <c r="G21" s="331" t="s">
        <v>607</v>
      </c>
      <c r="H21" s="331" t="s">
        <v>606</v>
      </c>
      <c r="I21" s="331" t="s">
        <v>606</v>
      </c>
      <c r="R21" s="331"/>
      <c r="S21">
        <f t="shared" si="1"/>
        <v>1111</v>
      </c>
    </row>
    <row r="22" spans="1:19" ht="30" customHeight="1" x14ac:dyDescent="0.2">
      <c r="A22" s="2">
        <v>22</v>
      </c>
      <c r="B22" s="331" t="str">
        <f t="shared" si="0"/>
        <v>6.4 Corte lateral (Flat)</v>
      </c>
      <c r="D22" s="331" t="s">
        <v>483</v>
      </c>
      <c r="E22" s="331" t="s">
        <v>1128</v>
      </c>
      <c r="F22" s="333" t="s">
        <v>1140</v>
      </c>
      <c r="G22" s="331" t="s">
        <v>610</v>
      </c>
      <c r="H22" s="331" t="s">
        <v>611</v>
      </c>
      <c r="I22" s="331" t="s">
        <v>611</v>
      </c>
      <c r="R22" s="331"/>
      <c r="S22">
        <f t="shared" si="1"/>
        <v>1111</v>
      </c>
    </row>
    <row r="23" spans="1:19" ht="42.75" customHeight="1" x14ac:dyDescent="0.2">
      <c r="A23" s="2">
        <v>23</v>
      </c>
      <c r="B23" s="331" t="str">
        <f t="shared" si="0"/>
        <v>CÁLCULO CONECTOR OCULTO DE CONEXIÓN MADERA-MADERA LOCK-T</v>
      </c>
      <c r="D23" s="331" t="s">
        <v>488</v>
      </c>
      <c r="E23" s="331" t="s">
        <v>612</v>
      </c>
      <c r="F23" s="333" t="s">
        <v>613</v>
      </c>
      <c r="G23" s="331" t="s">
        <v>614</v>
      </c>
      <c r="H23" s="331" t="s">
        <v>615</v>
      </c>
      <c r="I23" s="331" t="s">
        <v>616</v>
      </c>
      <c r="R23" s="331"/>
      <c r="S23">
        <f t="shared" si="1"/>
        <v>1111</v>
      </c>
    </row>
    <row r="24" spans="1:19" ht="30" customHeight="1" x14ac:dyDescent="0.2">
      <c r="A24" s="2">
        <v>24</v>
      </c>
      <c r="B24" s="331" t="str">
        <f t="shared" si="0"/>
        <v xml:space="preserve">1. Información general </v>
      </c>
      <c r="D24" s="331" t="s">
        <v>259</v>
      </c>
      <c r="E24" s="331" t="s">
        <v>617</v>
      </c>
      <c r="F24" s="333" t="s">
        <v>618</v>
      </c>
      <c r="G24" s="331" t="s">
        <v>619</v>
      </c>
      <c r="H24" s="331" t="s">
        <v>620</v>
      </c>
      <c r="I24" s="331" t="s">
        <v>621</v>
      </c>
      <c r="R24" s="331"/>
      <c r="S24">
        <f t="shared" si="1"/>
        <v>1111</v>
      </c>
    </row>
    <row r="25" spans="1:19" ht="30" customHeight="1" x14ac:dyDescent="0.2">
      <c r="A25" s="2">
        <v>25</v>
      </c>
      <c r="B25" s="331" t="str">
        <f t="shared" si="0"/>
        <v>Fecha</v>
      </c>
      <c r="D25" s="331" t="s">
        <v>256</v>
      </c>
      <c r="E25" s="331" t="s">
        <v>622</v>
      </c>
      <c r="F25" s="333" t="s">
        <v>623</v>
      </c>
      <c r="G25" s="331" t="s">
        <v>622</v>
      </c>
      <c r="H25" s="331" t="s">
        <v>624</v>
      </c>
      <c r="I25" s="331" t="s">
        <v>256</v>
      </c>
      <c r="R25" s="331"/>
      <c r="S25">
        <f t="shared" si="1"/>
        <v>1111</v>
      </c>
    </row>
    <row r="26" spans="1:19" ht="30" customHeight="1" x14ac:dyDescent="0.2">
      <c r="A26" s="2">
        <v>26</v>
      </c>
      <c r="B26" s="331" t="str">
        <f t="shared" si="0"/>
        <v>Técnico comercial RothoBlaas</v>
      </c>
      <c r="D26" s="331" t="s">
        <v>331</v>
      </c>
      <c r="E26" s="331" t="s">
        <v>625</v>
      </c>
      <c r="F26" s="333" t="s">
        <v>626</v>
      </c>
      <c r="G26" s="331" t="s">
        <v>627</v>
      </c>
      <c r="H26" s="331" t="s">
        <v>628</v>
      </c>
      <c r="I26" s="331" t="s">
        <v>628</v>
      </c>
      <c r="R26" s="331"/>
      <c r="S26">
        <f t="shared" si="1"/>
        <v>1111</v>
      </c>
    </row>
    <row r="27" spans="1:19" ht="30" customHeight="1" x14ac:dyDescent="0.2">
      <c r="A27" s="2">
        <v>27</v>
      </c>
      <c r="B27" s="331" t="str">
        <f t="shared" si="0"/>
        <v>Proyecto</v>
      </c>
      <c r="D27" s="331" t="s">
        <v>257</v>
      </c>
      <c r="E27" s="331" t="s">
        <v>1106</v>
      </c>
      <c r="F27" s="333" t="s">
        <v>629</v>
      </c>
      <c r="G27" s="331" t="s">
        <v>630</v>
      </c>
      <c r="H27" s="331" t="s">
        <v>631</v>
      </c>
      <c r="I27" s="331" t="s">
        <v>632</v>
      </c>
      <c r="R27" s="331"/>
      <c r="S27">
        <f t="shared" si="1"/>
        <v>1111</v>
      </c>
    </row>
    <row r="28" spans="1:19" ht="30" customHeight="1" x14ac:dyDescent="0.2">
      <c r="A28" s="2">
        <v>28</v>
      </c>
      <c r="B28" s="331" t="str">
        <f t="shared" si="0"/>
        <v>Proyectista</v>
      </c>
      <c r="D28" s="331" t="s">
        <v>260</v>
      </c>
      <c r="E28" s="331" t="s">
        <v>633</v>
      </c>
      <c r="F28" s="333" t="s">
        <v>634</v>
      </c>
      <c r="G28" s="331" t="s">
        <v>635</v>
      </c>
      <c r="H28" s="331" t="s">
        <v>636</v>
      </c>
      <c r="I28" s="331" t="s">
        <v>637</v>
      </c>
      <c r="R28" s="331"/>
      <c r="S28">
        <f t="shared" si="1"/>
        <v>1111</v>
      </c>
    </row>
    <row r="29" spans="1:19" ht="30" customHeight="1" x14ac:dyDescent="0.2">
      <c r="A29" s="2">
        <v>29</v>
      </c>
      <c r="B29" s="331" t="str">
        <f t="shared" si="0"/>
        <v>Norma de cálculo</v>
      </c>
      <c r="D29" s="331" t="s">
        <v>332</v>
      </c>
      <c r="E29" s="331" t="s">
        <v>638</v>
      </c>
      <c r="F29" s="333" t="s">
        <v>639</v>
      </c>
      <c r="G29" s="331" t="s">
        <v>640</v>
      </c>
      <c r="H29" s="331" t="s">
        <v>641</v>
      </c>
      <c r="I29" s="331" t="s">
        <v>641</v>
      </c>
      <c r="R29" s="331"/>
      <c r="S29">
        <f t="shared" si="1"/>
        <v>1111</v>
      </c>
    </row>
    <row r="30" spans="1:19" ht="30" customHeight="1" x14ac:dyDescent="0.2">
      <c r="A30" s="2">
        <v>30</v>
      </c>
      <c r="B30" s="331" t="str">
        <f t="shared" si="0"/>
        <v>Unión n°</v>
      </c>
      <c r="D30" s="331" t="s">
        <v>333</v>
      </c>
      <c r="E30" s="331" t="s">
        <v>642</v>
      </c>
      <c r="F30" s="333" t="s">
        <v>643</v>
      </c>
      <c r="G30" s="331" t="s">
        <v>644</v>
      </c>
      <c r="H30" s="331" t="s">
        <v>645</v>
      </c>
      <c r="I30" s="331" t="s">
        <v>646</v>
      </c>
      <c r="R30" s="331"/>
      <c r="S30">
        <f t="shared" si="1"/>
        <v>1111</v>
      </c>
    </row>
    <row r="31" spans="1:19" ht="30" customHeight="1" x14ac:dyDescent="0.2">
      <c r="A31" s="2">
        <v>31</v>
      </c>
      <c r="B31" s="331" t="str">
        <f t="shared" si="0"/>
        <v>Notas</v>
      </c>
      <c r="D31" s="331" t="s">
        <v>334</v>
      </c>
      <c r="E31" s="331" t="s">
        <v>647</v>
      </c>
      <c r="F31" s="333" t="s">
        <v>648</v>
      </c>
      <c r="G31" s="331" t="s">
        <v>647</v>
      </c>
      <c r="H31" s="331" t="s">
        <v>649</v>
      </c>
      <c r="I31" s="331" t="s">
        <v>650</v>
      </c>
      <c r="R31" s="331"/>
      <c r="S31">
        <f t="shared" si="1"/>
        <v>1111</v>
      </c>
    </row>
    <row r="32" spans="1:19" ht="30" customHeight="1" x14ac:dyDescent="0.2">
      <c r="A32" s="2">
        <v>32</v>
      </c>
      <c r="B32" s="331" t="str">
        <f t="shared" si="0"/>
        <v xml:space="preserve">3. Solicitaciones de proyecto </v>
      </c>
      <c r="D32" s="331" t="s">
        <v>1283</v>
      </c>
      <c r="E32" s="331" t="s">
        <v>1284</v>
      </c>
      <c r="F32" s="333" t="s">
        <v>1285</v>
      </c>
      <c r="G32" s="331" t="s">
        <v>1286</v>
      </c>
      <c r="H32" s="331" t="s">
        <v>1287</v>
      </c>
      <c r="I32" s="331" t="s">
        <v>1288</v>
      </c>
      <c r="R32" s="331"/>
      <c r="S32">
        <f t="shared" si="1"/>
        <v>1111</v>
      </c>
    </row>
    <row r="33" spans="1:19" ht="30" customHeight="1" x14ac:dyDescent="0.2">
      <c r="A33" s="2">
        <v>33</v>
      </c>
      <c r="B33" s="331" t="str">
        <f t="shared" si="0"/>
        <v>Acción de corte vertical</v>
      </c>
      <c r="D33" s="331" t="s">
        <v>423</v>
      </c>
      <c r="E33" s="331" t="s">
        <v>651</v>
      </c>
      <c r="F33" s="333" t="s">
        <v>1141</v>
      </c>
      <c r="G33" s="331" t="s">
        <v>652</v>
      </c>
      <c r="H33" s="331" t="s">
        <v>653</v>
      </c>
      <c r="I33" s="331" t="s">
        <v>654</v>
      </c>
      <c r="R33" s="331"/>
      <c r="S33">
        <f t="shared" si="1"/>
        <v>1111</v>
      </c>
    </row>
    <row r="34" spans="1:19" ht="30" customHeight="1" x14ac:dyDescent="0.2">
      <c r="A34" s="2">
        <v>34</v>
      </c>
      <c r="B34" s="331" t="str">
        <f t="shared" si="0"/>
        <v>Acción de corte por elevación</v>
      </c>
      <c r="D34" s="331" t="s">
        <v>422</v>
      </c>
      <c r="E34" s="331" t="s">
        <v>655</v>
      </c>
      <c r="F34" s="333" t="s">
        <v>1142</v>
      </c>
      <c r="G34" s="331" t="s">
        <v>656</v>
      </c>
      <c r="H34" s="331" t="s">
        <v>1201</v>
      </c>
      <c r="I34" s="331" t="s">
        <v>657</v>
      </c>
      <c r="R34" s="331"/>
      <c r="S34">
        <f t="shared" si="1"/>
        <v>1111</v>
      </c>
    </row>
    <row r="35" spans="1:19" ht="30" customHeight="1" x14ac:dyDescent="0.2">
      <c r="A35" s="2">
        <v>35</v>
      </c>
      <c r="B35" s="331" t="str">
        <f t="shared" si="0"/>
        <v>Acción axial</v>
      </c>
      <c r="D35" s="331" t="s">
        <v>264</v>
      </c>
      <c r="E35" s="331" t="s">
        <v>658</v>
      </c>
      <c r="F35" s="333" t="s">
        <v>1143</v>
      </c>
      <c r="G35" s="331" t="s">
        <v>659</v>
      </c>
      <c r="H35" s="331" t="s">
        <v>660</v>
      </c>
      <c r="I35" s="331" t="s">
        <v>661</v>
      </c>
      <c r="R35" s="331"/>
      <c r="S35">
        <f t="shared" si="1"/>
        <v>1111</v>
      </c>
    </row>
    <row r="36" spans="1:19" ht="30" customHeight="1" x14ac:dyDescent="0.2">
      <c r="A36" s="2">
        <v>36</v>
      </c>
      <c r="B36" s="331" t="str">
        <f t="shared" si="0"/>
        <v>Acción lateral</v>
      </c>
      <c r="D36" s="331" t="s">
        <v>265</v>
      </c>
      <c r="E36" s="331" t="s">
        <v>662</v>
      </c>
      <c r="F36" s="333" t="s">
        <v>1144</v>
      </c>
      <c r="G36" s="331" t="s">
        <v>663</v>
      </c>
      <c r="H36" s="331" t="s">
        <v>664</v>
      </c>
      <c r="I36" s="331" t="s">
        <v>665</v>
      </c>
      <c r="R36" s="331"/>
      <c r="S36">
        <f t="shared" si="1"/>
        <v>1111</v>
      </c>
    </row>
    <row r="37" spans="1:19" ht="30" customHeight="1" x14ac:dyDescent="0.2">
      <c r="A37" s="2">
        <v>37</v>
      </c>
      <c r="B37" s="331" t="str">
        <f t="shared" si="0"/>
        <v>4. Elementos de madera</v>
      </c>
      <c r="D37" s="331" t="s">
        <v>1289</v>
      </c>
      <c r="E37" s="331" t="s">
        <v>1290</v>
      </c>
      <c r="F37" s="333" t="s">
        <v>1291</v>
      </c>
      <c r="G37" s="331" t="s">
        <v>1292</v>
      </c>
      <c r="H37" s="331" t="s">
        <v>1293</v>
      </c>
      <c r="I37" s="331" t="s">
        <v>1294</v>
      </c>
      <c r="R37" s="331"/>
      <c r="S37">
        <f t="shared" si="1"/>
        <v>1111</v>
      </c>
    </row>
    <row r="38" spans="1:19" ht="30" customHeight="1" x14ac:dyDescent="0.2">
      <c r="A38" s="2">
        <v>38</v>
      </c>
      <c r="B38" s="331" t="str">
        <f t="shared" si="0"/>
        <v>4.1 Elemento principal</v>
      </c>
      <c r="D38" s="331" t="s">
        <v>1295</v>
      </c>
      <c r="E38" s="331" t="s">
        <v>1296</v>
      </c>
      <c r="F38" s="333" t="s">
        <v>1297</v>
      </c>
      <c r="G38" s="331" t="s">
        <v>1298</v>
      </c>
      <c r="H38" s="331" t="s">
        <v>1299</v>
      </c>
      <c r="I38" s="331" t="s">
        <v>1299</v>
      </c>
      <c r="R38" s="331"/>
      <c r="S38">
        <f t="shared" si="1"/>
        <v>1111</v>
      </c>
    </row>
    <row r="39" spans="1:19" ht="30" customHeight="1" x14ac:dyDescent="0.2">
      <c r="A39" s="2">
        <v>39</v>
      </c>
      <c r="B39" s="331" t="str">
        <f t="shared" si="0"/>
        <v>Base de la viga</v>
      </c>
      <c r="D39" s="331" t="s">
        <v>135</v>
      </c>
      <c r="E39" s="331" t="s">
        <v>666</v>
      </c>
      <c r="F39" s="333" t="s">
        <v>1145</v>
      </c>
      <c r="G39" s="331" t="s">
        <v>667</v>
      </c>
      <c r="H39" s="331" t="s">
        <v>668</v>
      </c>
      <c r="I39" s="331" t="s">
        <v>669</v>
      </c>
      <c r="R39" s="331"/>
      <c r="S39">
        <f t="shared" si="1"/>
        <v>1111</v>
      </c>
    </row>
    <row r="40" spans="1:19" ht="30" customHeight="1" x14ac:dyDescent="0.2">
      <c r="A40" s="2">
        <v>40</v>
      </c>
      <c r="B40" s="331" t="str">
        <f t="shared" si="0"/>
        <v>Base del pilar</v>
      </c>
      <c r="D40" s="331" t="s">
        <v>670</v>
      </c>
      <c r="E40" s="331" t="s">
        <v>671</v>
      </c>
      <c r="F40" s="333" t="s">
        <v>1146</v>
      </c>
      <c r="G40" s="331" t="s">
        <v>672</v>
      </c>
      <c r="H40" s="331" t="s">
        <v>673</v>
      </c>
      <c r="I40" s="331" t="s">
        <v>674</v>
      </c>
      <c r="R40" s="331"/>
      <c r="S40">
        <f t="shared" si="1"/>
        <v>1111</v>
      </c>
    </row>
    <row r="41" spans="1:19" ht="30" customHeight="1" x14ac:dyDescent="0.2">
      <c r="A41" s="2">
        <v>41</v>
      </c>
      <c r="B41" s="331" t="str">
        <f t="shared" si="0"/>
        <v>Altura de la viga</v>
      </c>
      <c r="D41" s="331" t="s">
        <v>136</v>
      </c>
      <c r="E41" s="331" t="s">
        <v>675</v>
      </c>
      <c r="F41" s="333" t="s">
        <v>676</v>
      </c>
      <c r="G41" s="331" t="s">
        <v>677</v>
      </c>
      <c r="H41" s="331" t="s">
        <v>678</v>
      </c>
      <c r="I41" s="331" t="s">
        <v>679</v>
      </c>
      <c r="R41" s="331"/>
      <c r="S41">
        <f t="shared" si="1"/>
        <v>1111</v>
      </c>
    </row>
    <row r="42" spans="1:19" ht="30" customHeight="1" x14ac:dyDescent="0.2">
      <c r="A42" s="2">
        <v>42</v>
      </c>
      <c r="B42" s="331" t="str">
        <f t="shared" si="0"/>
        <v>Profundidad del pilar</v>
      </c>
      <c r="D42" s="331" t="s">
        <v>680</v>
      </c>
      <c r="E42" s="331" t="s">
        <v>681</v>
      </c>
      <c r="F42" s="333" t="s">
        <v>1147</v>
      </c>
      <c r="G42" s="331" t="s">
        <v>682</v>
      </c>
      <c r="H42" s="331" t="s">
        <v>683</v>
      </c>
      <c r="I42" s="331" t="s">
        <v>684</v>
      </c>
      <c r="R42" s="331"/>
      <c r="S42">
        <f t="shared" si="1"/>
        <v>1111</v>
      </c>
    </row>
    <row r="43" spans="1:19" ht="30" customHeight="1" x14ac:dyDescent="0.2">
      <c r="A43" s="2">
        <v>43</v>
      </c>
      <c r="B43" s="331" t="str">
        <f t="shared" si="0"/>
        <v>Tipo de madera</v>
      </c>
      <c r="D43" s="331" t="s">
        <v>133</v>
      </c>
      <c r="E43" s="331" t="s">
        <v>1252</v>
      </c>
      <c r="F43" s="333" t="s">
        <v>686</v>
      </c>
      <c r="G43" s="331" t="s">
        <v>687</v>
      </c>
      <c r="H43" s="331" t="s">
        <v>688</v>
      </c>
      <c r="I43" s="331" t="s">
        <v>689</v>
      </c>
      <c r="R43" s="331"/>
      <c r="S43">
        <f t="shared" si="1"/>
        <v>1111</v>
      </c>
    </row>
    <row r="44" spans="1:19" ht="30" customHeight="1" x14ac:dyDescent="0.2">
      <c r="A44" s="2">
        <v>44</v>
      </c>
      <c r="B44" s="331" t="str">
        <f t="shared" si="0"/>
        <v>Orientación del elemento principal</v>
      </c>
      <c r="D44" s="331" t="s">
        <v>245</v>
      </c>
      <c r="E44" s="331" t="s">
        <v>690</v>
      </c>
      <c r="F44" s="333" t="s">
        <v>691</v>
      </c>
      <c r="G44" s="331" t="s">
        <v>692</v>
      </c>
      <c r="H44" s="331" t="s">
        <v>693</v>
      </c>
      <c r="I44" s="331" t="s">
        <v>694</v>
      </c>
      <c r="R44" s="331"/>
      <c r="S44">
        <f t="shared" si="1"/>
        <v>1111</v>
      </c>
    </row>
    <row r="45" spans="1:19" ht="30" customHeight="1" x14ac:dyDescent="0.2">
      <c r="A45" s="2">
        <v>45</v>
      </c>
      <c r="B45" s="331" t="str">
        <f t="shared" si="0"/>
        <v>Viga o pilar:</v>
      </c>
      <c r="D45" s="331" t="s">
        <v>502</v>
      </c>
      <c r="E45" s="331" t="s">
        <v>695</v>
      </c>
      <c r="F45" s="333" t="s">
        <v>1148</v>
      </c>
      <c r="G45" s="331" t="s">
        <v>696</v>
      </c>
      <c r="H45" s="331" t="s">
        <v>697</v>
      </c>
      <c r="I45" s="331" t="s">
        <v>698</v>
      </c>
      <c r="R45" s="331"/>
      <c r="S45">
        <f t="shared" si="1"/>
        <v>1111</v>
      </c>
    </row>
    <row r="46" spans="1:19" ht="30" customHeight="1" x14ac:dyDescent="0.2">
      <c r="A46" s="2">
        <v>46</v>
      </c>
      <c r="B46" s="331" t="str">
        <f t="shared" si="0"/>
        <v xml:space="preserve">Clase de resistencia para madera </v>
      </c>
      <c r="D46" s="331" t="s">
        <v>699</v>
      </c>
      <c r="E46" s="331" t="s">
        <v>1253</v>
      </c>
      <c r="F46" s="333" t="s">
        <v>700</v>
      </c>
      <c r="G46" s="331" t="s">
        <v>701</v>
      </c>
      <c r="H46" s="331" t="s">
        <v>702</v>
      </c>
      <c r="I46" s="331" t="s">
        <v>703</v>
      </c>
      <c r="R46" s="331"/>
      <c r="S46">
        <f t="shared" si="1"/>
        <v>1111</v>
      </c>
    </row>
    <row r="47" spans="1:19" ht="30" customHeight="1" x14ac:dyDescent="0.2">
      <c r="A47" s="2">
        <v>47</v>
      </c>
      <c r="B47" s="331" t="str">
        <f t="shared" si="0"/>
        <v>Densidad característica</v>
      </c>
      <c r="D47" s="331" t="s">
        <v>465</v>
      </c>
      <c r="E47" s="331" t="s">
        <v>704</v>
      </c>
      <c r="F47" s="333" t="s">
        <v>705</v>
      </c>
      <c r="G47" s="331" t="s">
        <v>706</v>
      </c>
      <c r="H47" s="331" t="s">
        <v>1202</v>
      </c>
      <c r="I47" s="331" t="s">
        <v>707</v>
      </c>
      <c r="R47" s="331"/>
      <c r="S47">
        <f t="shared" si="1"/>
        <v>1111</v>
      </c>
    </row>
    <row r="48" spans="1:19" ht="36.75" customHeight="1" x14ac:dyDescent="0.2">
      <c r="A48" s="2">
        <v>48</v>
      </c>
      <c r="B48" s="331" t="str">
        <f t="shared" si="0"/>
        <v>Resistencia característica a compresión paralela a la fibra</v>
      </c>
      <c r="D48" s="331" t="s">
        <v>466</v>
      </c>
      <c r="E48" s="331" t="s">
        <v>708</v>
      </c>
      <c r="F48" s="333" t="s">
        <v>1170</v>
      </c>
      <c r="G48" s="331" t="s">
        <v>709</v>
      </c>
      <c r="H48" s="331" t="s">
        <v>710</v>
      </c>
      <c r="I48" s="331" t="s">
        <v>711</v>
      </c>
      <c r="R48" s="331"/>
      <c r="S48">
        <f t="shared" si="1"/>
        <v>1111</v>
      </c>
    </row>
    <row r="49" spans="1:19" ht="34.5" customHeight="1" x14ac:dyDescent="0.2">
      <c r="A49" s="2">
        <v>49</v>
      </c>
      <c r="B49" s="331" t="str">
        <f t="shared" si="0"/>
        <v>Resistencia característica a compresión perpendicular a la fibra</v>
      </c>
      <c r="D49" s="331" t="s">
        <v>467</v>
      </c>
      <c r="E49" s="331" t="s">
        <v>712</v>
      </c>
      <c r="F49" s="333" t="s">
        <v>713</v>
      </c>
      <c r="G49" s="331" t="s">
        <v>714</v>
      </c>
      <c r="H49" s="331" t="s">
        <v>715</v>
      </c>
      <c r="I49" s="331" t="s">
        <v>716</v>
      </c>
      <c r="R49" s="331"/>
      <c r="S49">
        <f t="shared" si="1"/>
        <v>1111</v>
      </c>
    </row>
    <row r="50" spans="1:19" ht="42.75" customHeight="1" x14ac:dyDescent="0.2">
      <c r="A50" s="2">
        <v>50</v>
      </c>
      <c r="B50" s="331" t="str">
        <f t="shared" si="0"/>
        <v>Resistencia característica al corte por laminado de fibra</v>
      </c>
      <c r="D50" s="331" t="s">
        <v>468</v>
      </c>
      <c r="E50" s="331" t="s">
        <v>1125</v>
      </c>
      <c r="F50" s="333" t="s">
        <v>1177</v>
      </c>
      <c r="G50" s="331" t="s">
        <v>1256</v>
      </c>
      <c r="H50" s="331" t="s">
        <v>1203</v>
      </c>
      <c r="I50" s="331" t="s">
        <v>1234</v>
      </c>
      <c r="R50" s="331"/>
      <c r="S50">
        <f t="shared" si="1"/>
        <v>1111</v>
      </c>
    </row>
    <row r="51" spans="1:19" ht="30" customHeight="1" x14ac:dyDescent="0.2">
      <c r="A51" s="2">
        <v>51</v>
      </c>
      <c r="B51" s="331" t="str">
        <f t="shared" si="0"/>
        <v>Resistencia característica al corte</v>
      </c>
      <c r="D51" s="331" t="s">
        <v>469</v>
      </c>
      <c r="E51" s="331" t="s">
        <v>717</v>
      </c>
      <c r="F51" s="333" t="s">
        <v>718</v>
      </c>
      <c r="G51" s="331" t="s">
        <v>719</v>
      </c>
      <c r="H51" s="331" t="s">
        <v>720</v>
      </c>
      <c r="I51" s="331" t="s">
        <v>721</v>
      </c>
      <c r="R51" s="331"/>
      <c r="S51">
        <f t="shared" si="1"/>
        <v>1111</v>
      </c>
    </row>
    <row r="52" spans="1:19" ht="30" customHeight="1" x14ac:dyDescent="0.2">
      <c r="A52" s="2">
        <v>52</v>
      </c>
      <c r="B52" s="331" t="str">
        <f t="shared" si="0"/>
        <v>Para tornillos en pilares, el pre-agujero siempre es obligatorio.</v>
      </c>
      <c r="D52" s="331" t="s">
        <v>1255</v>
      </c>
      <c r="E52" s="331" t="s">
        <v>1254</v>
      </c>
      <c r="F52" s="333" t="s">
        <v>722</v>
      </c>
      <c r="G52" s="331" t="s">
        <v>723</v>
      </c>
      <c r="H52" s="331" t="s">
        <v>724</v>
      </c>
      <c r="I52" s="331" t="s">
        <v>725</v>
      </c>
      <c r="R52" s="331"/>
      <c r="S52">
        <f t="shared" si="1"/>
        <v>1111</v>
      </c>
    </row>
    <row r="53" spans="1:19" ht="66.75" customHeight="1" x14ac:dyDescent="0.2">
      <c r="A53" s="2">
        <v>53</v>
      </c>
      <c r="B53" s="331" t="str">
        <f t="shared" si="0"/>
        <v>Para tornillos de fijación sobre el elemento de madera con densidad característica ρk&gt;420 kg/m3, el pre-agujero es obligatorio.</v>
      </c>
      <c r="D53" s="331" t="s">
        <v>726</v>
      </c>
      <c r="E53" s="331" t="s">
        <v>727</v>
      </c>
      <c r="F53" s="333" t="s">
        <v>1178</v>
      </c>
      <c r="G53" s="331" t="s">
        <v>728</v>
      </c>
      <c r="H53" s="331" t="s">
        <v>729</v>
      </c>
      <c r="I53" s="331" t="s">
        <v>730</v>
      </c>
      <c r="R53" s="331"/>
      <c r="S53">
        <f t="shared" si="1"/>
        <v>1111</v>
      </c>
    </row>
    <row r="54" spans="1:19" ht="30" customHeight="1" x14ac:dyDescent="0.2">
      <c r="A54" s="2">
        <v>54</v>
      </c>
      <c r="B54" s="331" t="str">
        <f t="shared" si="0"/>
        <v>4.2 Elemento secundario</v>
      </c>
      <c r="D54" s="331" t="s">
        <v>1300</v>
      </c>
      <c r="E54" s="331" t="s">
        <v>1301</v>
      </c>
      <c r="F54" s="333" t="s">
        <v>1302</v>
      </c>
      <c r="G54" s="331" t="s">
        <v>1303</v>
      </c>
      <c r="H54" s="331" t="s">
        <v>1304</v>
      </c>
      <c r="I54" s="331" t="s">
        <v>1305</v>
      </c>
      <c r="R54" s="331"/>
      <c r="S54">
        <f t="shared" si="1"/>
        <v>1111</v>
      </c>
    </row>
    <row r="55" spans="1:19" ht="30" customHeight="1" x14ac:dyDescent="0.2">
      <c r="A55" s="2">
        <v>55</v>
      </c>
      <c r="B55" s="331" t="str">
        <f t="shared" si="0"/>
        <v>Base de la viga</v>
      </c>
      <c r="D55" s="331" t="s">
        <v>135</v>
      </c>
      <c r="E55" s="331" t="s">
        <v>666</v>
      </c>
      <c r="F55" s="333" t="s">
        <v>1145</v>
      </c>
      <c r="G55" s="331" t="s">
        <v>667</v>
      </c>
      <c r="H55" s="331" t="s">
        <v>668</v>
      </c>
      <c r="I55" s="331" t="s">
        <v>669</v>
      </c>
      <c r="R55" s="331"/>
      <c r="S55">
        <f t="shared" si="1"/>
        <v>1111</v>
      </c>
    </row>
    <row r="56" spans="1:19" ht="30" customHeight="1" x14ac:dyDescent="0.2">
      <c r="A56" s="2">
        <v>56</v>
      </c>
      <c r="B56" s="331" t="str">
        <f t="shared" si="0"/>
        <v>Altura de la viga</v>
      </c>
      <c r="D56" s="331" t="s">
        <v>136</v>
      </c>
      <c r="E56" s="331" t="s">
        <v>675</v>
      </c>
      <c r="F56" s="333" t="s">
        <v>676</v>
      </c>
      <c r="G56" s="331" t="s">
        <v>677</v>
      </c>
      <c r="H56" s="331" t="s">
        <v>678</v>
      </c>
      <c r="I56" s="331" t="s">
        <v>679</v>
      </c>
      <c r="R56" s="331"/>
      <c r="S56">
        <f t="shared" si="1"/>
        <v>1111</v>
      </c>
    </row>
    <row r="57" spans="1:19" ht="30" customHeight="1" x14ac:dyDescent="0.2">
      <c r="A57" s="2">
        <v>57</v>
      </c>
      <c r="B57" s="331" t="str">
        <f t="shared" si="0"/>
        <v>Tipo de madera</v>
      </c>
      <c r="D57" s="331" t="s">
        <v>133</v>
      </c>
      <c r="E57" s="331" t="s">
        <v>685</v>
      </c>
      <c r="F57" s="333" t="s">
        <v>686</v>
      </c>
      <c r="G57" s="331" t="s">
        <v>687</v>
      </c>
      <c r="H57" s="331" t="s">
        <v>688</v>
      </c>
      <c r="I57" s="331" t="s">
        <v>689</v>
      </c>
      <c r="R57" s="331"/>
      <c r="S57">
        <f t="shared" si="1"/>
        <v>1111</v>
      </c>
    </row>
    <row r="58" spans="1:19" ht="30" customHeight="1" x14ac:dyDescent="0.2">
      <c r="A58" s="2">
        <v>58</v>
      </c>
      <c r="B58" s="331" t="str">
        <f t="shared" si="0"/>
        <v>Ángulo en el plano vertical</v>
      </c>
      <c r="D58" s="331" t="s">
        <v>279</v>
      </c>
      <c r="E58" s="331" t="s">
        <v>731</v>
      </c>
      <c r="F58" s="333" t="s">
        <v>732</v>
      </c>
      <c r="G58" s="331" t="s">
        <v>733</v>
      </c>
      <c r="H58" s="331" t="s">
        <v>734</v>
      </c>
      <c r="I58" s="331" t="s">
        <v>735</v>
      </c>
      <c r="R58" s="331"/>
      <c r="S58">
        <f t="shared" si="1"/>
        <v>1111</v>
      </c>
    </row>
    <row r="59" spans="1:19" ht="57.75" customHeight="1" x14ac:dyDescent="0.2">
      <c r="A59" s="2">
        <v>59</v>
      </c>
      <c r="B59" s="331" t="str">
        <f t="shared" si="0"/>
        <v>Para ángulos altos, compruebe que los tornillos no sobresalen geométricamente de las secciones.</v>
      </c>
      <c r="D59" s="331" t="s">
        <v>480</v>
      </c>
      <c r="E59" s="331" t="s">
        <v>736</v>
      </c>
      <c r="F59" s="333" t="s">
        <v>1179</v>
      </c>
      <c r="G59" s="331" t="s">
        <v>737</v>
      </c>
      <c r="H59" s="331" t="s">
        <v>1204</v>
      </c>
      <c r="I59" s="331" t="s">
        <v>1235</v>
      </c>
      <c r="R59" s="331"/>
      <c r="S59">
        <f t="shared" si="1"/>
        <v>1111</v>
      </c>
    </row>
    <row r="60" spans="1:19" ht="30" customHeight="1" x14ac:dyDescent="0.2">
      <c r="A60" s="2">
        <v>60</v>
      </c>
      <c r="B60" s="331" t="str">
        <f t="shared" si="0"/>
        <v xml:space="preserve">Clase de resistencia de la madera </v>
      </c>
      <c r="D60" s="331" t="s">
        <v>699</v>
      </c>
      <c r="E60" s="331" t="s">
        <v>1124</v>
      </c>
      <c r="F60" s="333" t="s">
        <v>700</v>
      </c>
      <c r="G60" s="331" t="s">
        <v>701</v>
      </c>
      <c r="H60" s="331" t="s">
        <v>1220</v>
      </c>
      <c r="I60" s="331" t="s">
        <v>703</v>
      </c>
      <c r="R60" s="331"/>
      <c r="S60">
        <f t="shared" si="1"/>
        <v>1111</v>
      </c>
    </row>
    <row r="61" spans="1:19" ht="30" customHeight="1" x14ac:dyDescent="0.2">
      <c r="A61" s="2">
        <v>61</v>
      </c>
      <c r="B61" s="331" t="str">
        <f t="shared" si="0"/>
        <v>Densidad característica</v>
      </c>
      <c r="D61" s="331" t="s">
        <v>465</v>
      </c>
      <c r="E61" s="331" t="s">
        <v>704</v>
      </c>
      <c r="F61" s="333" t="s">
        <v>705</v>
      </c>
      <c r="G61" s="331" t="s">
        <v>706</v>
      </c>
      <c r="H61" s="331" t="s">
        <v>1202</v>
      </c>
      <c r="I61" s="331" t="s">
        <v>707</v>
      </c>
      <c r="R61" s="331"/>
      <c r="S61">
        <f t="shared" si="1"/>
        <v>1111</v>
      </c>
    </row>
    <row r="62" spans="1:19" ht="30" customHeight="1" x14ac:dyDescent="0.2">
      <c r="A62" s="2">
        <v>62</v>
      </c>
      <c r="B62" s="331" t="str">
        <f t="shared" si="0"/>
        <v>Resistencia característica a compresión paralela a la fibra</v>
      </c>
      <c r="D62" s="331" t="s">
        <v>466</v>
      </c>
      <c r="E62" s="331" t="s">
        <v>708</v>
      </c>
      <c r="F62" s="333" t="s">
        <v>1170</v>
      </c>
      <c r="G62" s="331" t="s">
        <v>709</v>
      </c>
      <c r="H62" s="331" t="s">
        <v>710</v>
      </c>
      <c r="I62" s="331" t="s">
        <v>711</v>
      </c>
      <c r="R62" s="331"/>
      <c r="S62">
        <f t="shared" si="1"/>
        <v>1111</v>
      </c>
    </row>
    <row r="63" spans="1:19" ht="30" customHeight="1" x14ac:dyDescent="0.2">
      <c r="A63" s="2">
        <v>63</v>
      </c>
      <c r="B63" s="331" t="str">
        <f t="shared" si="0"/>
        <v>Resistencia característica a compresión perpendicular a la fibra</v>
      </c>
      <c r="D63" s="331" t="s">
        <v>467</v>
      </c>
      <c r="E63" s="331" t="s">
        <v>738</v>
      </c>
      <c r="F63" s="333" t="s">
        <v>713</v>
      </c>
      <c r="G63" s="331" t="s">
        <v>714</v>
      </c>
      <c r="H63" s="331" t="s">
        <v>715</v>
      </c>
      <c r="I63" s="331" t="s">
        <v>716</v>
      </c>
      <c r="R63" s="331"/>
      <c r="S63">
        <f t="shared" si="1"/>
        <v>1111</v>
      </c>
    </row>
    <row r="64" spans="1:19" ht="48" customHeight="1" x14ac:dyDescent="0.2">
      <c r="A64" s="2">
        <v>64</v>
      </c>
      <c r="B64" s="331" t="str">
        <f t="shared" si="0"/>
        <v>Resistencia característica al corte por laminado de fibra</v>
      </c>
      <c r="D64" s="331" t="s">
        <v>468</v>
      </c>
      <c r="E64" s="331" t="s">
        <v>1125</v>
      </c>
      <c r="F64" s="333" t="s">
        <v>1177</v>
      </c>
      <c r="G64" s="331" t="s">
        <v>1256</v>
      </c>
      <c r="H64" s="331" t="s">
        <v>1203</v>
      </c>
      <c r="I64" s="331" t="s">
        <v>1132</v>
      </c>
      <c r="R64" s="331"/>
      <c r="S64">
        <f t="shared" si="1"/>
        <v>1111</v>
      </c>
    </row>
    <row r="65" spans="1:19" ht="30" customHeight="1" x14ac:dyDescent="0.2">
      <c r="A65" s="2">
        <v>65</v>
      </c>
      <c r="B65" s="331" t="str">
        <f t="shared" si="0"/>
        <v>Resistencia característica al corte</v>
      </c>
      <c r="D65" s="331" t="s">
        <v>469</v>
      </c>
      <c r="E65" s="331" t="s">
        <v>717</v>
      </c>
      <c r="F65" s="333" t="s">
        <v>718</v>
      </c>
      <c r="G65" s="331" t="s">
        <v>719</v>
      </c>
      <c r="H65" s="331" t="s">
        <v>720</v>
      </c>
      <c r="I65" s="331" t="s">
        <v>721</v>
      </c>
      <c r="R65" s="331"/>
      <c r="S65">
        <f t="shared" si="1"/>
        <v>1111</v>
      </c>
    </row>
    <row r="66" spans="1:19" ht="58.5" customHeight="1" x14ac:dyDescent="0.2">
      <c r="A66" s="2">
        <v>66</v>
      </c>
      <c r="B66" s="331" t="str">
        <f t="shared" si="0"/>
        <v>Para tornillos de fijación sobre el elemento de madera con densidad característica ρk&gt;420 kg/m3, el pre-agujero es obligatorio.</v>
      </c>
      <c r="D66" s="331" t="s">
        <v>726</v>
      </c>
      <c r="E66" s="331" t="s">
        <v>727</v>
      </c>
      <c r="F66" s="333" t="s">
        <v>1178</v>
      </c>
      <c r="G66" s="331" t="s">
        <v>728</v>
      </c>
      <c r="H66" s="331" t="s">
        <v>729</v>
      </c>
      <c r="I66" s="331" t="s">
        <v>730</v>
      </c>
      <c r="R66" s="331"/>
      <c r="S66">
        <f t="shared" si="1"/>
        <v>1111</v>
      </c>
    </row>
    <row r="67" spans="1:19" ht="30" customHeight="1" x14ac:dyDescent="0.2">
      <c r="A67" s="2">
        <v>67</v>
      </c>
      <c r="B67" s="331" t="str">
        <f t="shared" ref="B67:B130" si="2">HLOOKUP($B$1,$D$1:$I$206,A67,FALSE)</f>
        <v>5. Elección del conector y de los tornillos</v>
      </c>
      <c r="D67" s="331" t="s">
        <v>1306</v>
      </c>
      <c r="E67" s="331" t="s">
        <v>1307</v>
      </c>
      <c r="F67" s="333" t="s">
        <v>1308</v>
      </c>
      <c r="G67" s="331" t="s">
        <v>1309</v>
      </c>
      <c r="H67" s="331" t="s">
        <v>1310</v>
      </c>
      <c r="I67" s="331" t="s">
        <v>1311</v>
      </c>
      <c r="R67" s="331"/>
      <c r="S67">
        <f t="shared" ref="S67:S130" si="3">IF(R67=G67,0,1111)</f>
        <v>1111</v>
      </c>
    </row>
    <row r="68" spans="1:19" ht="30" customHeight="1" x14ac:dyDescent="0.2">
      <c r="A68" s="2">
        <v>68</v>
      </c>
      <c r="B68" s="331" t="str">
        <f t="shared" si="2"/>
        <v>Elección del conector</v>
      </c>
      <c r="D68" s="331" t="s">
        <v>134</v>
      </c>
      <c r="E68" s="331" t="s">
        <v>739</v>
      </c>
      <c r="F68" s="333" t="s">
        <v>740</v>
      </c>
      <c r="G68" s="331" t="s">
        <v>741</v>
      </c>
      <c r="H68" s="331" t="s">
        <v>742</v>
      </c>
      <c r="I68" s="331" t="s">
        <v>743</v>
      </c>
      <c r="R68" s="331"/>
      <c r="S68">
        <f t="shared" si="3"/>
        <v>1111</v>
      </c>
    </row>
    <row r="69" spans="1:19" ht="30" customHeight="1" x14ac:dyDescent="0.2">
      <c r="A69" s="2">
        <v>69</v>
      </c>
      <c r="B69" s="331" t="str">
        <f t="shared" si="2"/>
        <v>Versión con revestimiento C4 EVO</v>
      </c>
      <c r="D69" s="331" t="s">
        <v>280</v>
      </c>
      <c r="E69" s="331" t="s">
        <v>744</v>
      </c>
      <c r="F69" s="333" t="s">
        <v>745</v>
      </c>
      <c r="G69" s="331" t="s">
        <v>746</v>
      </c>
      <c r="H69" s="331" t="s">
        <v>747</v>
      </c>
      <c r="I69" s="331" t="s">
        <v>748</v>
      </c>
      <c r="R69" s="331"/>
      <c r="S69">
        <f t="shared" si="3"/>
        <v>1111</v>
      </c>
    </row>
    <row r="70" spans="1:19" ht="30" customHeight="1" x14ac:dyDescent="0.2">
      <c r="A70" s="2">
        <v>70</v>
      </c>
      <c r="B70" s="331" t="str">
        <f t="shared" si="2"/>
        <v>Acoplamiento conectores: número de conectores</v>
      </c>
      <c r="D70" s="331" t="s">
        <v>340</v>
      </c>
      <c r="E70" s="331" t="s">
        <v>749</v>
      </c>
      <c r="F70" s="333" t="s">
        <v>750</v>
      </c>
      <c r="G70" s="331" t="s">
        <v>751</v>
      </c>
      <c r="H70" s="331" t="s">
        <v>752</v>
      </c>
      <c r="I70" s="331" t="s">
        <v>753</v>
      </c>
      <c r="R70" s="331"/>
      <c r="S70">
        <f t="shared" si="3"/>
        <v>1111</v>
      </c>
    </row>
    <row r="71" spans="1:19" ht="30" customHeight="1" x14ac:dyDescent="0.2">
      <c r="A71" s="2">
        <v>71</v>
      </c>
      <c r="B71" s="331" t="str">
        <f t="shared" si="2"/>
        <v>Los conectores en pares tiene que tener la misma altura!</v>
      </c>
      <c r="D71" s="331" t="s">
        <v>490</v>
      </c>
      <c r="E71" s="331" t="s">
        <v>754</v>
      </c>
      <c r="F71" s="333" t="s">
        <v>755</v>
      </c>
      <c r="G71" s="331" t="s">
        <v>756</v>
      </c>
      <c r="H71" s="331" t="s">
        <v>757</v>
      </c>
      <c r="I71" s="331" t="s">
        <v>1236</v>
      </c>
      <c r="R71" s="331"/>
      <c r="S71">
        <f t="shared" si="3"/>
        <v>1111</v>
      </c>
    </row>
    <row r="72" spans="1:19" ht="30" customHeight="1" x14ac:dyDescent="0.2">
      <c r="A72" s="2">
        <v>72</v>
      </c>
      <c r="B72" s="331" t="str">
        <f t="shared" si="2"/>
        <v>Código del conector utilizado</v>
      </c>
      <c r="D72" s="331" t="s">
        <v>301</v>
      </c>
      <c r="E72" s="331" t="s">
        <v>1126</v>
      </c>
      <c r="F72" s="333" t="s">
        <v>758</v>
      </c>
      <c r="G72" s="331" t="s">
        <v>759</v>
      </c>
      <c r="H72" s="331" t="s">
        <v>760</v>
      </c>
      <c r="I72" s="331" t="s">
        <v>761</v>
      </c>
      <c r="R72" s="331"/>
      <c r="S72">
        <f t="shared" si="3"/>
        <v>1111</v>
      </c>
    </row>
    <row r="73" spans="1:19" ht="30" customHeight="1" x14ac:dyDescent="0.2">
      <c r="A73" s="2">
        <v>73</v>
      </c>
      <c r="B73" s="331" t="str">
        <f t="shared" si="2"/>
        <v>Número de módulos básicos ETA-19/0831</v>
      </c>
      <c r="D73" s="331" t="s">
        <v>406</v>
      </c>
      <c r="E73" s="331" t="s">
        <v>762</v>
      </c>
      <c r="F73" s="333" t="s">
        <v>1171</v>
      </c>
      <c r="G73" s="331" t="s">
        <v>1257</v>
      </c>
      <c r="H73" s="331" t="s">
        <v>1205</v>
      </c>
      <c r="I73" s="331" t="s">
        <v>1237</v>
      </c>
      <c r="R73" s="331"/>
      <c r="S73">
        <f t="shared" si="3"/>
        <v>1111</v>
      </c>
    </row>
    <row r="74" spans="1:19" ht="30" customHeight="1" x14ac:dyDescent="0.2">
      <c r="A74" s="2">
        <v>74</v>
      </c>
      <c r="B74" s="331" t="str">
        <f t="shared" si="2"/>
        <v>Base</v>
      </c>
      <c r="D74" s="331" t="s">
        <v>302</v>
      </c>
      <c r="E74" s="331" t="s">
        <v>302</v>
      </c>
      <c r="F74" s="333" t="s">
        <v>1149</v>
      </c>
      <c r="G74" s="331" t="s">
        <v>302</v>
      </c>
      <c r="H74" s="331" t="s">
        <v>302</v>
      </c>
      <c r="I74" s="331" t="s">
        <v>302</v>
      </c>
      <c r="R74" s="331"/>
      <c r="S74">
        <f t="shared" si="3"/>
        <v>1111</v>
      </c>
    </row>
    <row r="75" spans="1:19" ht="30" customHeight="1" x14ac:dyDescent="0.2">
      <c r="A75" s="2">
        <v>75</v>
      </c>
      <c r="B75" s="331" t="str">
        <f t="shared" si="2"/>
        <v>Altura</v>
      </c>
      <c r="D75" s="331" t="s">
        <v>48</v>
      </c>
      <c r="E75" s="331" t="s">
        <v>763</v>
      </c>
      <c r="F75" s="333" t="s">
        <v>764</v>
      </c>
      <c r="G75" s="331" t="s">
        <v>765</v>
      </c>
      <c r="H75" s="331" t="s">
        <v>766</v>
      </c>
      <c r="I75" s="331" t="s">
        <v>766</v>
      </c>
      <c r="R75" s="331"/>
      <c r="S75">
        <f t="shared" si="3"/>
        <v>1111</v>
      </c>
    </row>
    <row r="76" spans="1:19" ht="30" customHeight="1" x14ac:dyDescent="0.2">
      <c r="A76" s="2">
        <v>76</v>
      </c>
      <c r="B76" s="331" t="str">
        <f t="shared" si="2"/>
        <v>Espesor</v>
      </c>
      <c r="D76" s="331" t="s">
        <v>303</v>
      </c>
      <c r="E76" s="331" t="s">
        <v>767</v>
      </c>
      <c r="F76" s="333" t="s">
        <v>768</v>
      </c>
      <c r="G76" s="331" t="s">
        <v>769</v>
      </c>
      <c r="H76" s="331" t="s">
        <v>770</v>
      </c>
      <c r="I76" s="331" t="s">
        <v>771</v>
      </c>
      <c r="R76" s="331"/>
      <c r="S76">
        <f t="shared" si="3"/>
        <v>1111</v>
      </c>
    </row>
    <row r="77" spans="1:19" ht="30" customHeight="1" x14ac:dyDescent="0.2">
      <c r="A77" s="2">
        <v>77</v>
      </c>
      <c r="B77" s="331" t="str">
        <f t="shared" si="2"/>
        <v>Agujeros</v>
      </c>
      <c r="D77" s="331" t="s">
        <v>304</v>
      </c>
      <c r="E77" s="331" t="s">
        <v>772</v>
      </c>
      <c r="F77" s="333" t="s">
        <v>773</v>
      </c>
      <c r="G77" s="331" t="s">
        <v>774</v>
      </c>
      <c r="H77" s="331" t="s">
        <v>775</v>
      </c>
      <c r="I77" s="331" t="s">
        <v>776</v>
      </c>
      <c r="R77" s="331"/>
      <c r="S77">
        <f t="shared" si="3"/>
        <v>1111</v>
      </c>
    </row>
    <row r="78" spans="1:19" ht="50.25" customHeight="1" x14ac:dyDescent="0.2">
      <c r="A78" s="2">
        <v>78</v>
      </c>
      <c r="B78" s="331" t="str">
        <f t="shared" si="2"/>
        <v>Área de contacto entre el conector LOCK T y cabeza o pilar</v>
      </c>
      <c r="D78" s="331" t="s">
        <v>396</v>
      </c>
      <c r="E78" s="331" t="s">
        <v>777</v>
      </c>
      <c r="F78" s="333" t="s">
        <v>1180</v>
      </c>
      <c r="G78" s="331" t="s">
        <v>778</v>
      </c>
      <c r="H78" s="331" t="s">
        <v>1206</v>
      </c>
      <c r="I78" s="331" t="s">
        <v>1238</v>
      </c>
      <c r="R78" s="331"/>
      <c r="S78">
        <f t="shared" si="3"/>
        <v>1111</v>
      </c>
    </row>
    <row r="79" spans="1:19" ht="30" customHeight="1" x14ac:dyDescent="0.2">
      <c r="A79" s="2">
        <v>79</v>
      </c>
      <c r="B79" s="331" t="str">
        <f t="shared" si="2"/>
        <v>Longitud del conector LOCK T</v>
      </c>
      <c r="D79" s="331" t="s">
        <v>399</v>
      </c>
      <c r="E79" s="331" t="s">
        <v>779</v>
      </c>
      <c r="F79" s="333" t="s">
        <v>780</v>
      </c>
      <c r="G79" s="331" t="s">
        <v>781</v>
      </c>
      <c r="H79" s="331" t="s">
        <v>782</v>
      </c>
      <c r="I79" s="331" t="s">
        <v>783</v>
      </c>
      <c r="R79" s="331"/>
      <c r="S79">
        <f t="shared" si="3"/>
        <v>1111</v>
      </c>
    </row>
    <row r="80" spans="1:19" ht="30" customHeight="1" x14ac:dyDescent="0.2">
      <c r="A80" s="2">
        <v>80</v>
      </c>
      <c r="B80" s="331" t="str">
        <f t="shared" si="2"/>
        <v>Factor de forma</v>
      </c>
      <c r="D80" s="331" t="s">
        <v>401</v>
      </c>
      <c r="E80" s="331" t="s">
        <v>784</v>
      </c>
      <c r="F80" s="333" t="s">
        <v>785</v>
      </c>
      <c r="G80" s="331" t="s">
        <v>786</v>
      </c>
      <c r="H80" s="331" t="s">
        <v>787</v>
      </c>
      <c r="I80" s="331" t="s">
        <v>788</v>
      </c>
      <c r="R80" s="331"/>
      <c r="S80">
        <f t="shared" si="3"/>
        <v>1111</v>
      </c>
    </row>
    <row r="81" spans="1:19" ht="30" customHeight="1" x14ac:dyDescent="0.2">
      <c r="A81" s="2">
        <v>81</v>
      </c>
      <c r="B81" s="331" t="str">
        <f t="shared" si="2"/>
        <v>(*) Código disponible bajo pedido específico</v>
      </c>
      <c r="D81" s="331" t="s">
        <v>789</v>
      </c>
      <c r="E81" s="331" t="s">
        <v>790</v>
      </c>
      <c r="F81" s="333" t="s">
        <v>791</v>
      </c>
      <c r="G81" s="331" t="s">
        <v>792</v>
      </c>
      <c r="H81" s="331" t="s">
        <v>793</v>
      </c>
      <c r="I81" s="331" t="s">
        <v>794</v>
      </c>
      <c r="R81" s="331"/>
      <c r="S81">
        <f t="shared" si="3"/>
        <v>1111</v>
      </c>
    </row>
    <row r="82" spans="1:19" ht="30" customHeight="1" x14ac:dyDescent="0.2">
      <c r="A82" s="2">
        <v>82</v>
      </c>
      <c r="B82" s="331" t="str">
        <f t="shared" si="2"/>
        <v>(**) Código disponible bajo pedido específico</v>
      </c>
      <c r="D82" s="331" t="s">
        <v>795</v>
      </c>
      <c r="E82" s="331" t="s">
        <v>796</v>
      </c>
      <c r="F82" s="333" t="s">
        <v>797</v>
      </c>
      <c r="G82" s="331" t="s">
        <v>798</v>
      </c>
      <c r="H82" s="331" t="s">
        <v>799</v>
      </c>
      <c r="I82" s="331" t="s">
        <v>800</v>
      </c>
      <c r="R82" s="331"/>
      <c r="S82">
        <f t="shared" si="3"/>
        <v>1111</v>
      </c>
    </row>
    <row r="83" spans="1:19" ht="30" customHeight="1" x14ac:dyDescent="0.2">
      <c r="A83" s="2">
        <v>83</v>
      </c>
      <c r="B83" s="331" t="str">
        <f t="shared" si="2"/>
        <v>Acoplamiento conectores:</v>
      </c>
      <c r="D83" s="331" t="s">
        <v>501</v>
      </c>
      <c r="E83" s="331" t="s">
        <v>801</v>
      </c>
      <c r="F83" s="333" t="s">
        <v>802</v>
      </c>
      <c r="G83" s="331" t="s">
        <v>803</v>
      </c>
      <c r="H83" s="331" t="s">
        <v>804</v>
      </c>
      <c r="I83" s="331" t="s">
        <v>805</v>
      </c>
      <c r="R83" s="331"/>
      <c r="S83">
        <f t="shared" si="3"/>
        <v>1111</v>
      </c>
    </row>
    <row r="84" spans="1:19" ht="30" customHeight="1" x14ac:dyDescent="0.2">
      <c r="A84" s="2">
        <v>84</v>
      </c>
      <c r="B84" s="331" t="str">
        <f t="shared" si="2"/>
        <v>Tornillos fijación elemento principal</v>
      </c>
      <c r="D84" s="331" t="s">
        <v>503</v>
      </c>
      <c r="E84" s="331" t="s">
        <v>806</v>
      </c>
      <c r="F84" s="333" t="s">
        <v>807</v>
      </c>
      <c r="G84" s="331" t="s">
        <v>808</v>
      </c>
      <c r="H84" s="331" t="s">
        <v>809</v>
      </c>
      <c r="I84" s="331" t="s">
        <v>810</v>
      </c>
      <c r="R84" s="331"/>
      <c r="S84">
        <f t="shared" si="3"/>
        <v>1111</v>
      </c>
    </row>
    <row r="85" spans="1:19" ht="30" customHeight="1" x14ac:dyDescent="0.2">
      <c r="A85" s="2">
        <v>85</v>
      </c>
      <c r="B85" s="331" t="str">
        <f t="shared" si="2"/>
        <v>Código tornillo elemento principal</v>
      </c>
      <c r="D85" s="331" t="s">
        <v>500</v>
      </c>
      <c r="E85" s="331" t="s">
        <v>811</v>
      </c>
      <c r="F85" s="333" t="s">
        <v>812</v>
      </c>
      <c r="G85" s="331" t="s">
        <v>813</v>
      </c>
      <c r="H85" s="331" t="s">
        <v>814</v>
      </c>
      <c r="I85" s="331" t="s">
        <v>815</v>
      </c>
      <c r="R85" s="331"/>
      <c r="S85">
        <f t="shared" si="3"/>
        <v>1111</v>
      </c>
    </row>
    <row r="86" spans="1:19" ht="30" customHeight="1" x14ac:dyDescent="0.2">
      <c r="A86" s="2">
        <v>86</v>
      </c>
      <c r="B86" s="331" t="str">
        <f t="shared" si="2"/>
        <v>Diámetro nominal</v>
      </c>
      <c r="D86" s="331" t="s">
        <v>283</v>
      </c>
      <c r="E86" s="331" t="s">
        <v>816</v>
      </c>
      <c r="F86" s="333" t="s">
        <v>817</v>
      </c>
      <c r="G86" s="331" t="s">
        <v>818</v>
      </c>
      <c r="H86" s="331" t="s">
        <v>819</v>
      </c>
      <c r="I86" s="331" t="s">
        <v>820</v>
      </c>
      <c r="R86" s="331"/>
      <c r="S86">
        <f t="shared" si="3"/>
        <v>1111</v>
      </c>
    </row>
    <row r="87" spans="1:19" ht="30" customHeight="1" x14ac:dyDescent="0.2">
      <c r="A87" s="2">
        <v>87</v>
      </c>
      <c r="B87" s="331" t="str">
        <f t="shared" si="2"/>
        <v>Diámetro rosca</v>
      </c>
      <c r="D87" s="331" t="s">
        <v>284</v>
      </c>
      <c r="E87" s="331" t="s">
        <v>821</v>
      </c>
      <c r="F87" s="333" t="s">
        <v>822</v>
      </c>
      <c r="G87" s="331" t="s">
        <v>823</v>
      </c>
      <c r="H87" s="331" t="s">
        <v>1208</v>
      </c>
      <c r="I87" s="331" t="s">
        <v>825</v>
      </c>
      <c r="R87" s="331"/>
      <c r="S87">
        <f t="shared" si="3"/>
        <v>1111</v>
      </c>
    </row>
    <row r="88" spans="1:19" ht="30" customHeight="1" x14ac:dyDescent="0.2">
      <c r="A88" s="2">
        <v>88</v>
      </c>
      <c r="B88" s="331" t="str">
        <f t="shared" si="2"/>
        <v>Diámetro cabeza</v>
      </c>
      <c r="D88" s="331" t="s">
        <v>285</v>
      </c>
      <c r="E88" s="331" t="s">
        <v>826</v>
      </c>
      <c r="F88" s="333" t="s">
        <v>827</v>
      </c>
      <c r="G88" s="331" t="s">
        <v>828</v>
      </c>
      <c r="H88" s="331" t="s">
        <v>829</v>
      </c>
      <c r="I88" s="331" t="s">
        <v>830</v>
      </c>
      <c r="R88" s="331"/>
      <c r="S88">
        <f t="shared" si="3"/>
        <v>1111</v>
      </c>
    </row>
    <row r="89" spans="1:19" ht="30" customHeight="1" x14ac:dyDescent="0.2">
      <c r="A89" s="2">
        <v>89</v>
      </c>
      <c r="B89" s="331" t="str">
        <f t="shared" si="2"/>
        <v>Longitud</v>
      </c>
      <c r="D89" s="331" t="s">
        <v>11</v>
      </c>
      <c r="E89" s="331" t="s">
        <v>577</v>
      </c>
      <c r="F89" s="333" t="s">
        <v>578</v>
      </c>
      <c r="G89" s="331" t="s">
        <v>579</v>
      </c>
      <c r="H89" s="331" t="s">
        <v>580</v>
      </c>
      <c r="I89" s="331" t="s">
        <v>581</v>
      </c>
      <c r="R89" s="331"/>
      <c r="S89">
        <f t="shared" si="3"/>
        <v>1111</v>
      </c>
    </row>
    <row r="90" spans="1:19" ht="30" customHeight="1" x14ac:dyDescent="0.2">
      <c r="A90" s="2">
        <v>90</v>
      </c>
      <c r="B90" s="331" t="str">
        <f t="shared" si="2"/>
        <v>Longitud rosca</v>
      </c>
      <c r="D90" s="331" t="s">
        <v>286</v>
      </c>
      <c r="E90" s="331" t="s">
        <v>831</v>
      </c>
      <c r="F90" s="333" t="s">
        <v>832</v>
      </c>
      <c r="G90" s="331" t="s">
        <v>833</v>
      </c>
      <c r="H90" s="331" t="s">
        <v>834</v>
      </c>
      <c r="I90" s="331" t="s">
        <v>835</v>
      </c>
      <c r="R90" s="331"/>
      <c r="S90">
        <f t="shared" si="3"/>
        <v>1111</v>
      </c>
    </row>
    <row r="91" spans="1:19" ht="30" customHeight="1" x14ac:dyDescent="0.2">
      <c r="A91" s="2">
        <v>91</v>
      </c>
      <c r="B91" s="331" t="str">
        <f t="shared" si="2"/>
        <v>Parámetro característico extracción</v>
      </c>
      <c r="D91" s="331" t="s">
        <v>287</v>
      </c>
      <c r="E91" s="331" t="s">
        <v>836</v>
      </c>
      <c r="F91" s="333" t="s">
        <v>837</v>
      </c>
      <c r="G91" s="331" t="s">
        <v>838</v>
      </c>
      <c r="H91" s="331" t="s">
        <v>839</v>
      </c>
      <c r="I91" s="331" t="s">
        <v>840</v>
      </c>
      <c r="R91" s="331"/>
      <c r="S91">
        <f t="shared" si="3"/>
        <v>1111</v>
      </c>
    </row>
    <row r="92" spans="1:19" ht="30" customHeight="1" x14ac:dyDescent="0.2">
      <c r="A92" s="2">
        <v>92</v>
      </c>
      <c r="B92" s="331" t="str">
        <f t="shared" si="2"/>
        <v>Densidad asociada</v>
      </c>
      <c r="D92" s="331" t="s">
        <v>288</v>
      </c>
      <c r="E92" s="331" t="s">
        <v>841</v>
      </c>
      <c r="F92" s="333" t="s">
        <v>842</v>
      </c>
      <c r="G92" s="331" t="s">
        <v>843</v>
      </c>
      <c r="H92" s="331" t="s">
        <v>844</v>
      </c>
      <c r="I92" s="331" t="s">
        <v>845</v>
      </c>
      <c r="R92" s="331"/>
      <c r="S92">
        <f t="shared" si="3"/>
        <v>1111</v>
      </c>
    </row>
    <row r="93" spans="1:19" ht="30" customHeight="1" x14ac:dyDescent="0.2">
      <c r="A93" s="2">
        <v>93</v>
      </c>
      <c r="B93" s="331" t="str">
        <f t="shared" si="2"/>
        <v>Resistencia característica de tracción</v>
      </c>
      <c r="D93" s="331" t="s">
        <v>289</v>
      </c>
      <c r="E93" s="331" t="s">
        <v>846</v>
      </c>
      <c r="F93" s="333" t="s">
        <v>847</v>
      </c>
      <c r="G93" s="331" t="s">
        <v>848</v>
      </c>
      <c r="H93" s="331" t="s">
        <v>849</v>
      </c>
      <c r="I93" s="331" t="s">
        <v>850</v>
      </c>
      <c r="R93" s="331"/>
      <c r="S93">
        <f t="shared" si="3"/>
        <v>1111</v>
      </c>
    </row>
    <row r="94" spans="1:19" ht="30" customHeight="1" x14ac:dyDescent="0.2">
      <c r="A94" s="2">
        <v>94</v>
      </c>
      <c r="B94" s="331" t="str">
        <f t="shared" si="2"/>
        <v>Momento plástico característico</v>
      </c>
      <c r="D94" s="331" t="s">
        <v>322</v>
      </c>
      <c r="E94" s="331" t="s">
        <v>851</v>
      </c>
      <c r="F94" s="333" t="s">
        <v>852</v>
      </c>
      <c r="G94" s="331" t="s">
        <v>853</v>
      </c>
      <c r="H94" s="331" t="s">
        <v>854</v>
      </c>
      <c r="I94" s="331" t="s">
        <v>854</v>
      </c>
      <c r="R94" s="331"/>
      <c r="S94">
        <f t="shared" si="3"/>
        <v>1111</v>
      </c>
    </row>
    <row r="95" spans="1:19" ht="30" customHeight="1" x14ac:dyDescent="0.2">
      <c r="A95" s="2">
        <v>95</v>
      </c>
      <c r="B95" s="331" t="str">
        <f t="shared" si="2"/>
        <v>Tornillos fijación viga secundaria</v>
      </c>
      <c r="D95" s="331" t="s">
        <v>276</v>
      </c>
      <c r="E95" s="331" t="s">
        <v>855</v>
      </c>
      <c r="F95" s="333" t="s">
        <v>856</v>
      </c>
      <c r="G95" s="331" t="s">
        <v>857</v>
      </c>
      <c r="H95" s="331" t="s">
        <v>858</v>
      </c>
      <c r="I95" s="331" t="s">
        <v>859</v>
      </c>
      <c r="R95" s="331"/>
      <c r="S95">
        <f t="shared" si="3"/>
        <v>1111</v>
      </c>
    </row>
    <row r="96" spans="1:19" ht="30" customHeight="1" x14ac:dyDescent="0.2">
      <c r="A96" s="2">
        <v>96</v>
      </c>
      <c r="B96" s="331" t="str">
        <f t="shared" si="2"/>
        <v>Configuración Flat:</v>
      </c>
      <c r="D96" s="331" t="s">
        <v>860</v>
      </c>
      <c r="E96" s="331" t="s">
        <v>861</v>
      </c>
      <c r="F96" s="333" t="s">
        <v>862</v>
      </c>
      <c r="G96" s="331" t="s">
        <v>863</v>
      </c>
      <c r="H96" s="331" t="s">
        <v>864</v>
      </c>
      <c r="I96" s="331" t="s">
        <v>865</v>
      </c>
      <c r="R96" s="331"/>
      <c r="S96">
        <f t="shared" si="3"/>
        <v>1111</v>
      </c>
    </row>
    <row r="97" spans="1:19" ht="30" customHeight="1" x14ac:dyDescent="0.2">
      <c r="A97" s="2">
        <v>97</v>
      </c>
      <c r="B97" s="331" t="str">
        <f t="shared" si="2"/>
        <v>Código tornillo viga secundaria</v>
      </c>
      <c r="D97" s="331" t="s">
        <v>394</v>
      </c>
      <c r="E97" s="331" t="s">
        <v>866</v>
      </c>
      <c r="F97" s="333" t="s">
        <v>867</v>
      </c>
      <c r="G97" s="331" t="s">
        <v>868</v>
      </c>
      <c r="H97" s="331" t="s">
        <v>869</v>
      </c>
      <c r="I97" s="331" t="s">
        <v>870</v>
      </c>
      <c r="R97" s="331"/>
      <c r="S97">
        <f t="shared" si="3"/>
        <v>1111</v>
      </c>
    </row>
    <row r="98" spans="1:19" ht="30" customHeight="1" x14ac:dyDescent="0.2">
      <c r="A98" s="2">
        <v>98</v>
      </c>
      <c r="B98" s="331" t="str">
        <f t="shared" si="2"/>
        <v>Diámetro nominal</v>
      </c>
      <c r="D98" s="331" t="s">
        <v>283</v>
      </c>
      <c r="E98" s="331" t="s">
        <v>816</v>
      </c>
      <c r="F98" s="333" t="s">
        <v>817</v>
      </c>
      <c r="G98" s="331" t="s">
        <v>818</v>
      </c>
      <c r="H98" s="331" t="s">
        <v>819</v>
      </c>
      <c r="I98" s="331" t="s">
        <v>820</v>
      </c>
      <c r="R98" s="331"/>
      <c r="S98">
        <f t="shared" si="3"/>
        <v>1111</v>
      </c>
    </row>
    <row r="99" spans="1:19" ht="30" customHeight="1" x14ac:dyDescent="0.2">
      <c r="A99" s="2">
        <v>99</v>
      </c>
      <c r="B99" s="331" t="str">
        <f t="shared" si="2"/>
        <v>Diámetro núcleo</v>
      </c>
      <c r="D99" s="331" t="s">
        <v>284</v>
      </c>
      <c r="E99" s="331" t="s">
        <v>821</v>
      </c>
      <c r="F99" s="333" t="s">
        <v>822</v>
      </c>
      <c r="G99" s="331" t="s">
        <v>823</v>
      </c>
      <c r="H99" s="331" t="s">
        <v>824</v>
      </c>
      <c r="I99" s="331" t="s">
        <v>825</v>
      </c>
      <c r="R99" s="331"/>
      <c r="S99">
        <f t="shared" si="3"/>
        <v>1111</v>
      </c>
    </row>
    <row r="100" spans="1:19" ht="30" customHeight="1" x14ac:dyDescent="0.2">
      <c r="A100" s="2">
        <v>100</v>
      </c>
      <c r="B100" s="331" t="str">
        <f t="shared" si="2"/>
        <v>Diámetro cabeza</v>
      </c>
      <c r="D100" s="331" t="s">
        <v>285</v>
      </c>
      <c r="E100" s="331" t="s">
        <v>826</v>
      </c>
      <c r="F100" s="333" t="s">
        <v>827</v>
      </c>
      <c r="G100" s="331" t="s">
        <v>828</v>
      </c>
      <c r="H100" s="331" t="s">
        <v>829</v>
      </c>
      <c r="I100" s="331" t="s">
        <v>830</v>
      </c>
      <c r="R100" s="331"/>
      <c r="S100">
        <f t="shared" si="3"/>
        <v>1111</v>
      </c>
    </row>
    <row r="101" spans="1:19" ht="30" customHeight="1" x14ac:dyDescent="0.2">
      <c r="A101" s="2">
        <v>101</v>
      </c>
      <c r="B101" s="331" t="str">
        <f t="shared" si="2"/>
        <v>Longitud</v>
      </c>
      <c r="D101" s="331" t="s">
        <v>11</v>
      </c>
      <c r="E101" s="331" t="s">
        <v>577</v>
      </c>
      <c r="F101" s="333" t="s">
        <v>578</v>
      </c>
      <c r="G101" s="331" t="s">
        <v>579</v>
      </c>
      <c r="H101" s="331" t="s">
        <v>580</v>
      </c>
      <c r="I101" s="331" t="s">
        <v>581</v>
      </c>
      <c r="R101" s="331"/>
      <c r="S101">
        <f t="shared" si="3"/>
        <v>1111</v>
      </c>
    </row>
    <row r="102" spans="1:19" ht="30" customHeight="1" x14ac:dyDescent="0.2">
      <c r="A102" s="2">
        <v>102</v>
      </c>
      <c r="B102" s="331" t="str">
        <f t="shared" si="2"/>
        <v>Longitud rosca</v>
      </c>
      <c r="D102" s="331" t="s">
        <v>286</v>
      </c>
      <c r="E102" s="331" t="s">
        <v>831</v>
      </c>
      <c r="F102" s="333" t="s">
        <v>832</v>
      </c>
      <c r="G102" s="331" t="s">
        <v>833</v>
      </c>
      <c r="H102" s="331" t="s">
        <v>834</v>
      </c>
      <c r="I102" s="331" t="s">
        <v>835</v>
      </c>
      <c r="R102" s="331"/>
      <c r="S102">
        <f t="shared" si="3"/>
        <v>1111</v>
      </c>
    </row>
    <row r="103" spans="1:19" ht="30" customHeight="1" x14ac:dyDescent="0.2">
      <c r="A103" s="2">
        <v>103</v>
      </c>
      <c r="B103" s="331" t="str">
        <f t="shared" si="2"/>
        <v>Parámetro característico extracción</v>
      </c>
      <c r="D103" s="331" t="s">
        <v>287</v>
      </c>
      <c r="E103" s="331" t="s">
        <v>836</v>
      </c>
      <c r="F103" s="333" t="s">
        <v>837</v>
      </c>
      <c r="G103" s="331" t="s">
        <v>838</v>
      </c>
      <c r="H103" s="331" t="s">
        <v>839</v>
      </c>
      <c r="I103" s="331" t="s">
        <v>840</v>
      </c>
      <c r="R103" s="331"/>
      <c r="S103">
        <f t="shared" si="3"/>
        <v>1111</v>
      </c>
    </row>
    <row r="104" spans="1:19" ht="30" customHeight="1" x14ac:dyDescent="0.2">
      <c r="A104" s="2">
        <v>104</v>
      </c>
      <c r="B104" s="331" t="str">
        <f t="shared" si="2"/>
        <v>Densidad asociada</v>
      </c>
      <c r="D104" s="331" t="s">
        <v>288</v>
      </c>
      <c r="E104" s="331" t="s">
        <v>841</v>
      </c>
      <c r="F104" s="333" t="s">
        <v>842</v>
      </c>
      <c r="G104" s="331" t="s">
        <v>843</v>
      </c>
      <c r="H104" s="331" t="s">
        <v>844</v>
      </c>
      <c r="I104" s="331" t="s">
        <v>845</v>
      </c>
      <c r="R104" s="331"/>
      <c r="S104">
        <f t="shared" si="3"/>
        <v>1111</v>
      </c>
    </row>
    <row r="105" spans="1:19" ht="30" customHeight="1" x14ac:dyDescent="0.2">
      <c r="A105" s="2">
        <v>105</v>
      </c>
      <c r="B105" s="331" t="str">
        <f t="shared" si="2"/>
        <v>Resistencia característica de tracción</v>
      </c>
      <c r="D105" s="331" t="s">
        <v>289</v>
      </c>
      <c r="E105" s="331" t="s">
        <v>846</v>
      </c>
      <c r="F105" s="333" t="s">
        <v>847</v>
      </c>
      <c r="G105" s="331" t="s">
        <v>848</v>
      </c>
      <c r="H105" s="331" t="s">
        <v>849</v>
      </c>
      <c r="I105" s="331" t="s">
        <v>850</v>
      </c>
      <c r="R105" s="331"/>
      <c r="S105">
        <f t="shared" si="3"/>
        <v>1111</v>
      </c>
    </row>
    <row r="106" spans="1:19" ht="30" customHeight="1" x14ac:dyDescent="0.2">
      <c r="A106" s="2">
        <v>106</v>
      </c>
      <c r="B106" s="331" t="str">
        <f t="shared" si="2"/>
        <v>Momento plástico característico</v>
      </c>
      <c r="D106" s="331" t="s">
        <v>322</v>
      </c>
      <c r="E106" s="331" t="s">
        <v>851</v>
      </c>
      <c r="F106" s="333" t="s">
        <v>852</v>
      </c>
      <c r="G106" s="331" t="s">
        <v>853</v>
      </c>
      <c r="H106" s="331" t="s">
        <v>854</v>
      </c>
      <c r="I106" s="331" t="s">
        <v>854</v>
      </c>
      <c r="R106" s="331"/>
      <c r="S106">
        <f t="shared" si="3"/>
        <v>1111</v>
      </c>
    </row>
    <row r="107" spans="1:19" ht="30" customHeight="1" x14ac:dyDescent="0.2">
      <c r="A107" s="2">
        <v>107</v>
      </c>
      <c r="B107" s="331" t="str">
        <f t="shared" si="2"/>
        <v>Configuración por resistencia lateral</v>
      </c>
      <c r="D107" s="331" t="s">
        <v>355</v>
      </c>
      <c r="E107" s="331" t="s">
        <v>871</v>
      </c>
      <c r="F107" s="333" t="s">
        <v>872</v>
      </c>
      <c r="G107" s="331" t="s">
        <v>873</v>
      </c>
      <c r="H107" s="331" t="s">
        <v>874</v>
      </c>
      <c r="I107" s="331" t="s">
        <v>875</v>
      </c>
      <c r="R107" s="331"/>
      <c r="S107">
        <f t="shared" si="3"/>
        <v>1111</v>
      </c>
    </row>
    <row r="108" spans="1:19" ht="30" customHeight="1" x14ac:dyDescent="0.2">
      <c r="A108" s="2">
        <v>108</v>
      </c>
      <c r="B108" s="331" t="str">
        <f t="shared" si="2"/>
        <v>Tipo de conector LOCK STOP</v>
      </c>
      <c r="D108" s="331" t="s">
        <v>246</v>
      </c>
      <c r="E108" s="331" t="s">
        <v>876</v>
      </c>
      <c r="F108" s="333" t="s">
        <v>877</v>
      </c>
      <c r="G108" s="331" t="s">
        <v>878</v>
      </c>
      <c r="H108" s="331" t="s">
        <v>879</v>
      </c>
      <c r="I108" s="331" t="s">
        <v>879</v>
      </c>
      <c r="R108" s="331"/>
      <c r="S108">
        <f t="shared" si="3"/>
        <v>1111</v>
      </c>
    </row>
    <row r="109" spans="1:19" ht="40.5" customHeight="1" x14ac:dyDescent="0.2">
      <c r="A109" s="2">
        <v>109</v>
      </c>
      <c r="B109" s="331" t="str">
        <f t="shared" si="2"/>
        <v>Tornillos inclinados para levantamiento y/o resistencia lateral</v>
      </c>
      <c r="D109" s="331" t="s">
        <v>395</v>
      </c>
      <c r="E109" s="331" t="s">
        <v>880</v>
      </c>
      <c r="F109" s="333" t="s">
        <v>1150</v>
      </c>
      <c r="G109" s="331" t="s">
        <v>881</v>
      </c>
      <c r="H109" s="331" t="s">
        <v>1207</v>
      </c>
      <c r="I109" s="331" t="s">
        <v>883</v>
      </c>
      <c r="R109" s="331"/>
      <c r="S109">
        <f t="shared" si="3"/>
        <v>1111</v>
      </c>
    </row>
    <row r="110" spans="1:19" ht="30" customHeight="1" x14ac:dyDescent="0.2">
      <c r="A110" s="2">
        <v>110</v>
      </c>
      <c r="B110" s="331" t="str">
        <f t="shared" si="2"/>
        <v>Número de tornillos inclinados</v>
      </c>
      <c r="D110" s="331" t="s">
        <v>403</v>
      </c>
      <c r="E110" s="331" t="s">
        <v>884</v>
      </c>
      <c r="F110" s="333" t="s">
        <v>885</v>
      </c>
      <c r="G110" s="331" t="s">
        <v>886</v>
      </c>
      <c r="H110" s="331" t="s">
        <v>887</v>
      </c>
      <c r="I110" s="331" t="s">
        <v>888</v>
      </c>
      <c r="R110" s="331"/>
      <c r="S110">
        <f t="shared" si="3"/>
        <v>1111</v>
      </c>
    </row>
    <row r="111" spans="1:19" ht="30" customHeight="1" x14ac:dyDescent="0.2">
      <c r="A111" s="2">
        <v>111</v>
      </c>
      <c r="B111" s="331" t="str">
        <f t="shared" si="2"/>
        <v>Código tornillos</v>
      </c>
      <c r="D111" s="331" t="s">
        <v>298</v>
      </c>
      <c r="E111" s="331" t="s">
        <v>889</v>
      </c>
      <c r="F111" s="333" t="s">
        <v>1181</v>
      </c>
      <c r="G111" s="331" t="s">
        <v>890</v>
      </c>
      <c r="H111" s="331" t="s">
        <v>891</v>
      </c>
      <c r="I111" s="331" t="s">
        <v>892</v>
      </c>
      <c r="R111" s="331"/>
      <c r="S111">
        <f t="shared" si="3"/>
        <v>1111</v>
      </c>
    </row>
    <row r="112" spans="1:19" ht="30" customHeight="1" x14ac:dyDescent="0.2">
      <c r="A112" s="2">
        <v>112</v>
      </c>
      <c r="B112" s="331" t="str">
        <f t="shared" si="2"/>
        <v>Diámetro nominal</v>
      </c>
      <c r="D112" s="331" t="s">
        <v>283</v>
      </c>
      <c r="E112" s="331" t="s">
        <v>816</v>
      </c>
      <c r="F112" s="333" t="s">
        <v>817</v>
      </c>
      <c r="G112" s="331" t="s">
        <v>818</v>
      </c>
      <c r="H112" s="331" t="s">
        <v>819</v>
      </c>
      <c r="I112" s="331" t="s">
        <v>820</v>
      </c>
      <c r="R112" s="331"/>
      <c r="S112">
        <f t="shared" si="3"/>
        <v>1111</v>
      </c>
    </row>
    <row r="113" spans="1:19" ht="30" customHeight="1" x14ac:dyDescent="0.2">
      <c r="A113" s="2">
        <v>113</v>
      </c>
      <c r="B113" s="331" t="str">
        <f t="shared" si="2"/>
        <v>Diámetro rosca</v>
      </c>
      <c r="D113" s="331" t="s">
        <v>284</v>
      </c>
      <c r="E113" s="331" t="s">
        <v>821</v>
      </c>
      <c r="F113" s="333" t="s">
        <v>822</v>
      </c>
      <c r="G113" s="331" t="s">
        <v>823</v>
      </c>
      <c r="H113" s="331" t="s">
        <v>1208</v>
      </c>
      <c r="I113" s="331" t="s">
        <v>825</v>
      </c>
      <c r="R113" s="331"/>
      <c r="S113">
        <f t="shared" si="3"/>
        <v>1111</v>
      </c>
    </row>
    <row r="114" spans="1:19" ht="30" customHeight="1" x14ac:dyDescent="0.2">
      <c r="A114" s="2">
        <v>114</v>
      </c>
      <c r="B114" s="331" t="str">
        <f t="shared" si="2"/>
        <v>Diámetro cabeza</v>
      </c>
      <c r="D114" s="331" t="s">
        <v>285</v>
      </c>
      <c r="E114" s="331" t="s">
        <v>826</v>
      </c>
      <c r="F114" s="333" t="s">
        <v>827</v>
      </c>
      <c r="G114" s="331" t="s">
        <v>828</v>
      </c>
      <c r="H114" s="331" t="s">
        <v>829</v>
      </c>
      <c r="I114" s="331" t="s">
        <v>830</v>
      </c>
      <c r="R114" s="331"/>
      <c r="S114">
        <f t="shared" si="3"/>
        <v>1111</v>
      </c>
    </row>
    <row r="115" spans="1:19" ht="30" customHeight="1" x14ac:dyDescent="0.2">
      <c r="A115" s="2">
        <v>115</v>
      </c>
      <c r="B115" s="331" t="str">
        <f t="shared" si="2"/>
        <v>Longitud</v>
      </c>
      <c r="D115" s="331" t="s">
        <v>11</v>
      </c>
      <c r="E115" s="331" t="s">
        <v>577</v>
      </c>
      <c r="F115" s="333" t="s">
        <v>578</v>
      </c>
      <c r="G115" s="331" t="s">
        <v>579</v>
      </c>
      <c r="H115" s="331" t="s">
        <v>580</v>
      </c>
      <c r="I115" s="331" t="s">
        <v>581</v>
      </c>
      <c r="R115" s="331"/>
      <c r="S115">
        <f t="shared" si="3"/>
        <v>1111</v>
      </c>
    </row>
    <row r="116" spans="1:19" ht="30" customHeight="1" x14ac:dyDescent="0.2">
      <c r="A116" s="2">
        <v>116</v>
      </c>
      <c r="B116" s="331" t="str">
        <f t="shared" si="2"/>
        <v>Longitud rosca</v>
      </c>
      <c r="D116" s="331" t="s">
        <v>286</v>
      </c>
      <c r="E116" s="331" t="s">
        <v>831</v>
      </c>
      <c r="F116" s="333" t="s">
        <v>832</v>
      </c>
      <c r="G116" s="331" t="s">
        <v>833</v>
      </c>
      <c r="H116" s="331" t="s">
        <v>834</v>
      </c>
      <c r="I116" s="331" t="s">
        <v>835</v>
      </c>
      <c r="R116" s="331"/>
      <c r="S116">
        <f t="shared" si="3"/>
        <v>1111</v>
      </c>
    </row>
    <row r="117" spans="1:19" ht="30" customHeight="1" x14ac:dyDescent="0.2">
      <c r="A117" s="2">
        <v>117</v>
      </c>
      <c r="B117" s="331" t="str">
        <f t="shared" si="2"/>
        <v>Parámetro característico extracción</v>
      </c>
      <c r="D117" s="331" t="s">
        <v>287</v>
      </c>
      <c r="E117" s="331" t="s">
        <v>836</v>
      </c>
      <c r="F117" s="333" t="s">
        <v>837</v>
      </c>
      <c r="G117" s="331" t="s">
        <v>838</v>
      </c>
      <c r="H117" s="331" t="s">
        <v>839</v>
      </c>
      <c r="I117" s="331" t="s">
        <v>840</v>
      </c>
      <c r="R117" s="331"/>
      <c r="S117">
        <f t="shared" si="3"/>
        <v>1111</v>
      </c>
    </row>
    <row r="118" spans="1:19" ht="30" customHeight="1" x14ac:dyDescent="0.2">
      <c r="A118" s="2">
        <v>118</v>
      </c>
      <c r="B118" s="331" t="str">
        <f t="shared" si="2"/>
        <v>Densidad asociada</v>
      </c>
      <c r="D118" s="331" t="s">
        <v>288</v>
      </c>
      <c r="E118" s="331" t="s">
        <v>841</v>
      </c>
      <c r="F118" s="333" t="s">
        <v>842</v>
      </c>
      <c r="G118" s="331" t="s">
        <v>843</v>
      </c>
      <c r="H118" s="331" t="s">
        <v>844</v>
      </c>
      <c r="I118" s="331" t="s">
        <v>845</v>
      </c>
      <c r="R118" s="331"/>
      <c r="S118">
        <f t="shared" si="3"/>
        <v>1111</v>
      </c>
    </row>
    <row r="119" spans="1:19" ht="30" customHeight="1" x14ac:dyDescent="0.2">
      <c r="A119" s="2">
        <v>119</v>
      </c>
      <c r="B119" s="331" t="str">
        <f t="shared" si="2"/>
        <v>Resistencia característica de tracción</v>
      </c>
      <c r="D119" s="331" t="s">
        <v>289</v>
      </c>
      <c r="E119" s="331" t="s">
        <v>846</v>
      </c>
      <c r="F119" s="333" t="s">
        <v>847</v>
      </c>
      <c r="G119" s="331" t="s">
        <v>848</v>
      </c>
      <c r="H119" s="331" t="s">
        <v>849</v>
      </c>
      <c r="I119" s="331" t="s">
        <v>850</v>
      </c>
      <c r="R119" s="331"/>
      <c r="S119">
        <f t="shared" si="3"/>
        <v>1111</v>
      </c>
    </row>
    <row r="120" spans="1:19" ht="30" customHeight="1" x14ac:dyDescent="0.2">
      <c r="A120" s="2">
        <v>120</v>
      </c>
      <c r="B120" s="331" t="str">
        <f t="shared" si="2"/>
        <v>Momento plástico característico</v>
      </c>
      <c r="D120" s="331" t="s">
        <v>322</v>
      </c>
      <c r="E120" s="331" t="s">
        <v>851</v>
      </c>
      <c r="F120" s="333" t="s">
        <v>852</v>
      </c>
      <c r="G120" s="331" t="s">
        <v>853</v>
      </c>
      <c r="H120" s="331" t="s">
        <v>854</v>
      </c>
      <c r="I120" s="331" t="s">
        <v>854</v>
      </c>
      <c r="R120" s="331"/>
      <c r="S120">
        <f t="shared" si="3"/>
        <v>1111</v>
      </c>
    </row>
    <row r="121" spans="1:19" ht="30" customHeight="1" x14ac:dyDescent="0.2">
      <c r="A121" s="2">
        <v>121</v>
      </c>
      <c r="B121" s="331" t="str">
        <f t="shared" si="2"/>
        <v>2. Combinaciones</v>
      </c>
      <c r="D121" s="331" t="s">
        <v>1277</v>
      </c>
      <c r="E121" s="331" t="s">
        <v>1278</v>
      </c>
      <c r="F121" s="333" t="s">
        <v>1279</v>
      </c>
      <c r="G121" s="331" t="s">
        <v>1280</v>
      </c>
      <c r="H121" s="331" t="s">
        <v>1281</v>
      </c>
      <c r="I121" s="331" t="s">
        <v>1282</v>
      </c>
      <c r="R121" s="331"/>
      <c r="S121">
        <f t="shared" si="3"/>
        <v>1111</v>
      </c>
    </row>
    <row r="122" spans="1:19" ht="30" customHeight="1" x14ac:dyDescent="0.2">
      <c r="A122" s="2">
        <v>122</v>
      </c>
      <c r="B122" s="331" t="str">
        <f t="shared" si="2"/>
        <v>Clases de servicio</v>
      </c>
      <c r="D122" s="331" t="s">
        <v>137</v>
      </c>
      <c r="E122" s="331" t="s">
        <v>893</v>
      </c>
      <c r="F122" s="333" t="s">
        <v>894</v>
      </c>
      <c r="G122" s="331" t="s">
        <v>895</v>
      </c>
      <c r="H122" s="331" t="s">
        <v>896</v>
      </c>
      <c r="I122" s="331" t="s">
        <v>897</v>
      </c>
      <c r="R122" s="331"/>
      <c r="S122">
        <f t="shared" si="3"/>
        <v>1111</v>
      </c>
    </row>
    <row r="123" spans="1:19" ht="30" customHeight="1" x14ac:dyDescent="0.2">
      <c r="A123" s="2">
        <v>123</v>
      </c>
      <c r="B123" s="331" t="str">
        <f t="shared" si="2"/>
        <v xml:space="preserve">Clase de duración de la carga </v>
      </c>
      <c r="D123" s="331" t="s">
        <v>138</v>
      </c>
      <c r="E123" s="331" t="s">
        <v>898</v>
      </c>
      <c r="F123" s="333" t="s">
        <v>899</v>
      </c>
      <c r="G123" s="331" t="s">
        <v>900</v>
      </c>
      <c r="H123" s="331" t="s">
        <v>901</v>
      </c>
      <c r="I123" s="331" t="s">
        <v>902</v>
      </c>
      <c r="R123" s="331"/>
      <c r="S123">
        <f t="shared" si="3"/>
        <v>1111</v>
      </c>
    </row>
    <row r="124" spans="1:19" ht="30" customHeight="1" x14ac:dyDescent="0.2">
      <c r="A124" s="2">
        <v>124</v>
      </c>
      <c r="B124" s="331" t="str">
        <f t="shared" si="2"/>
        <v>Coeficiente kmod</v>
      </c>
      <c r="D124" s="331" t="s">
        <v>903</v>
      </c>
      <c r="E124" s="331" t="s">
        <v>904</v>
      </c>
      <c r="F124" s="333" t="s">
        <v>905</v>
      </c>
      <c r="G124" s="331" t="s">
        <v>906</v>
      </c>
      <c r="H124" s="331" t="s">
        <v>907</v>
      </c>
      <c r="I124" s="331" t="s">
        <v>907</v>
      </c>
      <c r="R124" s="331"/>
      <c r="S124">
        <f t="shared" si="3"/>
        <v>1111</v>
      </c>
    </row>
    <row r="125" spans="1:19" ht="100.5" customHeight="1" x14ac:dyDescent="0.2">
      <c r="A125" s="2">
        <v>125</v>
      </c>
      <c r="B125" s="331" t="str">
        <f t="shared" si="2"/>
        <v>Se caracteriza por una humedad del material en equilibrio con el ambiente a una temperatura de 20°C y una humedad relativa del aire circundante que no supera el 65%, si no durante unas semanas al año.</v>
      </c>
      <c r="D125" s="331" t="s">
        <v>318</v>
      </c>
      <c r="E125" s="331" t="s">
        <v>908</v>
      </c>
      <c r="F125" s="333" t="s">
        <v>1151</v>
      </c>
      <c r="G125" s="331" t="s">
        <v>909</v>
      </c>
      <c r="H125" s="331" t="s">
        <v>1221</v>
      </c>
      <c r="I125" s="331" t="s">
        <v>1133</v>
      </c>
      <c r="R125" s="331"/>
      <c r="S125">
        <f t="shared" si="3"/>
        <v>1111</v>
      </c>
    </row>
    <row r="126" spans="1:19" ht="86.25" customHeight="1" x14ac:dyDescent="0.2">
      <c r="A126" s="2">
        <v>126</v>
      </c>
      <c r="B126" s="331" t="str">
        <f t="shared" si="2"/>
        <v>Se caracteriza por una humedad del material en equilibrio con el ambiente a una temperatura de 20°C y una humedad relativa del aire circundante de más del 85% durante solo unas semanas al año.</v>
      </c>
      <c r="D126" s="331" t="s">
        <v>319</v>
      </c>
      <c r="E126" s="331" t="s">
        <v>910</v>
      </c>
      <c r="F126" s="333" t="s">
        <v>1152</v>
      </c>
      <c r="G126" s="331" t="s">
        <v>911</v>
      </c>
      <c r="H126" s="331" t="s">
        <v>1222</v>
      </c>
      <c r="I126" s="331" t="s">
        <v>1239</v>
      </c>
      <c r="R126" s="331"/>
      <c r="S126">
        <f t="shared" si="3"/>
        <v>1111</v>
      </c>
    </row>
    <row r="127" spans="1:19" ht="38.25" customHeight="1" x14ac:dyDescent="0.2">
      <c r="A127" s="2">
        <v>127</v>
      </c>
      <c r="B127" s="331" t="str">
        <f t="shared" si="2"/>
        <v>Tiene una humedad más alta que la clase de servicio 2.</v>
      </c>
      <c r="D127" s="331" t="s">
        <v>320</v>
      </c>
      <c r="E127" s="331" t="s">
        <v>912</v>
      </c>
      <c r="F127" s="333" t="s">
        <v>1153</v>
      </c>
      <c r="G127" s="331" t="s">
        <v>913</v>
      </c>
      <c r="H127" s="331" t="s">
        <v>1223</v>
      </c>
      <c r="I127" s="331" t="s">
        <v>1240</v>
      </c>
      <c r="R127" s="331"/>
      <c r="S127">
        <f t="shared" si="3"/>
        <v>1111</v>
      </c>
    </row>
    <row r="128" spans="1:19" ht="30" customHeight="1" x14ac:dyDescent="0.2">
      <c r="A128" s="2">
        <v>128</v>
      </c>
      <c r="B128" s="331" t="str">
        <f t="shared" si="2"/>
        <v>Permanente</v>
      </c>
      <c r="D128" s="331" t="s">
        <v>140</v>
      </c>
      <c r="E128" s="331" t="s">
        <v>914</v>
      </c>
      <c r="F128" s="333" t="s">
        <v>915</v>
      </c>
      <c r="G128" s="331" t="s">
        <v>140</v>
      </c>
      <c r="H128" s="331" t="s">
        <v>140</v>
      </c>
      <c r="I128" s="331" t="s">
        <v>140</v>
      </c>
      <c r="R128" s="331"/>
      <c r="S128">
        <f t="shared" si="3"/>
        <v>1111</v>
      </c>
    </row>
    <row r="129" spans="1:19" ht="30" customHeight="1" x14ac:dyDescent="0.2">
      <c r="A129" s="2">
        <v>129</v>
      </c>
      <c r="B129" s="331" t="str">
        <f t="shared" si="2"/>
        <v>Larga duración</v>
      </c>
      <c r="D129" s="331" t="s">
        <v>146</v>
      </c>
      <c r="E129" s="331" t="s">
        <v>916</v>
      </c>
      <c r="F129" s="333" t="s">
        <v>1154</v>
      </c>
      <c r="G129" s="331" t="s">
        <v>917</v>
      </c>
      <c r="H129" s="331" t="s">
        <v>918</v>
      </c>
      <c r="I129" s="331" t="s">
        <v>919</v>
      </c>
      <c r="R129" s="331"/>
      <c r="S129">
        <f t="shared" si="3"/>
        <v>1111</v>
      </c>
    </row>
    <row r="130" spans="1:19" ht="30" customHeight="1" x14ac:dyDescent="0.2">
      <c r="A130" s="2">
        <v>130</v>
      </c>
      <c r="B130" s="331" t="str">
        <f t="shared" si="2"/>
        <v>Media duración</v>
      </c>
      <c r="D130" s="331" t="s">
        <v>147</v>
      </c>
      <c r="E130" s="331" t="s">
        <v>920</v>
      </c>
      <c r="F130" s="333" t="s">
        <v>1155</v>
      </c>
      <c r="G130" s="331" t="s">
        <v>921</v>
      </c>
      <c r="H130" s="331" t="s">
        <v>922</v>
      </c>
      <c r="I130" s="331" t="s">
        <v>923</v>
      </c>
      <c r="R130" s="331"/>
      <c r="S130">
        <f t="shared" si="3"/>
        <v>1111</v>
      </c>
    </row>
    <row r="131" spans="1:19" ht="30" customHeight="1" x14ac:dyDescent="0.2">
      <c r="A131" s="2">
        <v>131</v>
      </c>
      <c r="B131" s="331" t="str">
        <f t="shared" ref="B131:B194" si="4">HLOOKUP($B$1,$D$1:$I$206,A131,FALSE)</f>
        <v>Corta duración</v>
      </c>
      <c r="D131" s="331" t="s">
        <v>148</v>
      </c>
      <c r="E131" s="331" t="s">
        <v>924</v>
      </c>
      <c r="F131" s="333" t="s">
        <v>1156</v>
      </c>
      <c r="G131" s="331" t="s">
        <v>925</v>
      </c>
      <c r="H131" s="331" t="s">
        <v>926</v>
      </c>
      <c r="I131" s="331" t="s">
        <v>927</v>
      </c>
      <c r="R131" s="331"/>
      <c r="S131">
        <f t="shared" ref="S131:S194" si="5">IF(R131=G131,0,1111)</f>
        <v>1111</v>
      </c>
    </row>
    <row r="132" spans="1:19" ht="30" customHeight="1" x14ac:dyDescent="0.2">
      <c r="A132" s="2">
        <v>132</v>
      </c>
      <c r="B132" s="331" t="str">
        <f t="shared" si="4"/>
        <v>Instantáneo</v>
      </c>
      <c r="D132" s="331" t="s">
        <v>312</v>
      </c>
      <c r="E132" s="331" t="s">
        <v>928</v>
      </c>
      <c r="F132" s="333" t="s">
        <v>929</v>
      </c>
      <c r="G132" s="331" t="s">
        <v>930</v>
      </c>
      <c r="H132" s="331" t="s">
        <v>931</v>
      </c>
      <c r="I132" s="331" t="s">
        <v>932</v>
      </c>
      <c r="R132" s="331"/>
      <c r="S132">
        <f t="shared" si="5"/>
        <v>1111</v>
      </c>
    </row>
    <row r="133" spans="1:19" ht="55.5" customHeight="1" x14ac:dyDescent="0.2">
      <c r="A133" s="2">
        <v>133</v>
      </c>
      <c r="B133" s="331" t="str">
        <f t="shared" si="4"/>
        <v>Peso propio y cargas no removibles durante el funcionamiento normal de la estructura.</v>
      </c>
      <c r="D133" s="331" t="s">
        <v>313</v>
      </c>
      <c r="E133" s="331" t="s">
        <v>933</v>
      </c>
      <c r="F133" s="333" t="s">
        <v>1157</v>
      </c>
      <c r="G133" s="331" t="s">
        <v>934</v>
      </c>
      <c r="H133" s="331" t="s">
        <v>1209</v>
      </c>
      <c r="I133" s="331" t="s">
        <v>1241</v>
      </c>
      <c r="R133" s="331"/>
      <c r="S133">
        <f t="shared" si="5"/>
        <v>1111</v>
      </c>
    </row>
    <row r="134" spans="1:19" ht="72" customHeight="1" x14ac:dyDescent="0.2">
      <c r="A134" s="2">
        <v>134</v>
      </c>
      <c r="B134" s="331" t="str">
        <f t="shared" si="4"/>
        <v>Cargas permanentes que pueden cambiar durante el funcionamiento normal de la estructura y cargas variables relacionadas con almacenes y depósitos.</v>
      </c>
      <c r="D134" s="331" t="s">
        <v>314</v>
      </c>
      <c r="E134" s="331" t="s">
        <v>935</v>
      </c>
      <c r="F134" s="333" t="s">
        <v>1158</v>
      </c>
      <c r="G134" s="331" t="s">
        <v>936</v>
      </c>
      <c r="H134" s="331" t="s">
        <v>1224</v>
      </c>
      <c r="I134" s="331" t="s">
        <v>1242</v>
      </c>
      <c r="R134" s="331"/>
      <c r="S134">
        <f t="shared" si="5"/>
        <v>1111</v>
      </c>
    </row>
    <row r="135" spans="1:19" ht="63" customHeight="1" x14ac:dyDescent="0.2">
      <c r="A135" s="2">
        <v>135</v>
      </c>
      <c r="B135" s="331" t="str">
        <f t="shared" si="4"/>
        <v>Cargas variables de edificios, excepto las relativas a almacenes y depósitos.</v>
      </c>
      <c r="D135" s="331" t="s">
        <v>315</v>
      </c>
      <c r="E135" s="331" t="s">
        <v>937</v>
      </c>
      <c r="F135" s="333" t="s">
        <v>1159</v>
      </c>
      <c r="G135" s="331" t="s">
        <v>938</v>
      </c>
      <c r="H135" s="331" t="s">
        <v>1210</v>
      </c>
      <c r="I135" s="331" t="s">
        <v>1243</v>
      </c>
      <c r="R135" s="331"/>
      <c r="S135">
        <f t="shared" si="5"/>
        <v>1111</v>
      </c>
    </row>
    <row r="136" spans="1:19" ht="30" customHeight="1" x14ac:dyDescent="0.2">
      <c r="A136" s="2">
        <v>136</v>
      </c>
      <c r="B136" s="331" t="str">
        <f t="shared" si="4"/>
        <v>Acción media del viento</v>
      </c>
      <c r="D136" s="331" t="s">
        <v>316</v>
      </c>
      <c r="E136" s="331" t="s">
        <v>939</v>
      </c>
      <c r="F136" s="333" t="s">
        <v>1182</v>
      </c>
      <c r="G136" s="331" t="s">
        <v>940</v>
      </c>
      <c r="H136" s="331" t="s">
        <v>1225</v>
      </c>
      <c r="I136" s="331" t="s">
        <v>1244</v>
      </c>
      <c r="R136" s="331"/>
      <c r="S136">
        <f t="shared" si="5"/>
        <v>1111</v>
      </c>
    </row>
    <row r="137" spans="1:19" ht="30" customHeight="1" x14ac:dyDescent="0.2">
      <c r="A137" s="2">
        <v>137</v>
      </c>
      <c r="B137" s="331" t="str">
        <f t="shared" si="4"/>
        <v>Acción de pico del viento y acciones excepcionales.</v>
      </c>
      <c r="D137" s="331" t="s">
        <v>317</v>
      </c>
      <c r="E137" s="331" t="s">
        <v>941</v>
      </c>
      <c r="F137" s="333" t="s">
        <v>1160</v>
      </c>
      <c r="G137" s="331" t="s">
        <v>942</v>
      </c>
      <c r="H137" s="331" t="s">
        <v>943</v>
      </c>
      <c r="I137" s="331" t="s">
        <v>1245</v>
      </c>
      <c r="R137" s="331"/>
      <c r="S137">
        <f t="shared" si="5"/>
        <v>1111</v>
      </c>
    </row>
    <row r="138" spans="1:19" ht="30" customHeight="1" x14ac:dyDescent="0.2">
      <c r="A138" s="2">
        <v>138</v>
      </c>
      <c r="B138" s="331" t="str">
        <f t="shared" si="4"/>
        <v>Producción controlada continuamente (VOC &lt;15%)</v>
      </c>
      <c r="D138" s="331" t="s">
        <v>335</v>
      </c>
      <c r="E138" s="331" t="s">
        <v>944</v>
      </c>
      <c r="F138" s="333" t="s">
        <v>1183</v>
      </c>
      <c r="G138" s="331" t="s">
        <v>945</v>
      </c>
      <c r="H138" s="331" t="s">
        <v>1211</v>
      </c>
      <c r="I138" s="331" t="s">
        <v>1246</v>
      </c>
      <c r="R138" s="331"/>
      <c r="S138">
        <f t="shared" si="5"/>
        <v>1111</v>
      </c>
    </row>
    <row r="139" spans="1:19" ht="30" customHeight="1" x14ac:dyDescent="0.2">
      <c r="A139" s="2">
        <v>139</v>
      </c>
      <c r="B139" s="331" t="str">
        <f t="shared" si="4"/>
        <v>Coeficiente de seguridad conexión</v>
      </c>
      <c r="D139" s="331" t="s">
        <v>491</v>
      </c>
      <c r="E139" s="331" t="s">
        <v>946</v>
      </c>
      <c r="F139" s="333" t="s">
        <v>1184</v>
      </c>
      <c r="G139" s="331" t="s">
        <v>947</v>
      </c>
      <c r="H139" s="331" t="s">
        <v>948</v>
      </c>
      <c r="I139" s="331" t="s">
        <v>949</v>
      </c>
      <c r="R139" s="331"/>
      <c r="S139">
        <f t="shared" si="5"/>
        <v>1111</v>
      </c>
    </row>
    <row r="140" spans="1:19" ht="30" customHeight="1" x14ac:dyDescent="0.2">
      <c r="A140" s="2">
        <v>140</v>
      </c>
      <c r="B140" s="331" t="str">
        <f t="shared" si="4"/>
        <v>Coeficiente de seguridad aluminio</v>
      </c>
      <c r="D140" s="331" t="s">
        <v>253</v>
      </c>
      <c r="E140" s="331" t="s">
        <v>950</v>
      </c>
      <c r="F140" s="333" t="s">
        <v>1185</v>
      </c>
      <c r="G140" s="331" t="s">
        <v>951</v>
      </c>
      <c r="H140" s="331" t="s">
        <v>952</v>
      </c>
      <c r="I140" s="331" t="s">
        <v>953</v>
      </c>
      <c r="R140" s="331"/>
      <c r="S140">
        <f t="shared" si="5"/>
        <v>1111</v>
      </c>
    </row>
    <row r="141" spans="1:19" ht="30" customHeight="1" x14ac:dyDescent="0.2">
      <c r="A141" s="2">
        <v>141</v>
      </c>
      <c r="B141" s="331" t="str">
        <f t="shared" si="4"/>
        <v>6. Comprobaciones de diseño para direcciones individuales</v>
      </c>
      <c r="D141" s="331" t="s">
        <v>424</v>
      </c>
      <c r="E141" s="331" t="s">
        <v>954</v>
      </c>
      <c r="F141" s="333" t="s">
        <v>1186</v>
      </c>
      <c r="G141" s="331" t="s">
        <v>955</v>
      </c>
      <c r="H141" s="331" t="s">
        <v>1212</v>
      </c>
      <c r="I141" s="331" t="s">
        <v>1247</v>
      </c>
      <c r="R141" s="331"/>
      <c r="S141">
        <f t="shared" si="5"/>
        <v>1111</v>
      </c>
    </row>
    <row r="142" spans="1:19" ht="121.5" customHeight="1" x14ac:dyDescent="0.2">
      <c r="A142" s="2">
        <v>142</v>
      </c>
      <c r="B142" s="331" t="str">
        <f t="shared" si="4"/>
        <v>El dimensionamiento y la vida útil de los elementos de madera deben efectuarse por separado. En concreto, para cargas perpendiculares al eje de las vigas, se aconseja realizar una comprobación por separado de ambos elementos de madera.</v>
      </c>
      <c r="D142" s="331" t="s">
        <v>956</v>
      </c>
      <c r="E142" s="331" t="s">
        <v>957</v>
      </c>
      <c r="F142" s="333" t="s">
        <v>1172</v>
      </c>
      <c r="G142" s="331" t="s">
        <v>1258</v>
      </c>
      <c r="H142" s="331" t="s">
        <v>1226</v>
      </c>
      <c r="I142" s="331" t="s">
        <v>958</v>
      </c>
      <c r="R142" s="331"/>
      <c r="S142">
        <f t="shared" si="5"/>
        <v>1111</v>
      </c>
    </row>
    <row r="143" spans="1:19" ht="30" customHeight="1" x14ac:dyDescent="0.2">
      <c r="A143" s="2">
        <v>143</v>
      </c>
      <c r="B143" s="331" t="str">
        <f t="shared" si="4"/>
        <v>6.1 Corte vertical (Fv)</v>
      </c>
      <c r="D143" s="331" t="s">
        <v>481</v>
      </c>
      <c r="E143" s="331" t="s">
        <v>597</v>
      </c>
      <c r="F143" s="333" t="s">
        <v>959</v>
      </c>
      <c r="G143" s="331" t="s">
        <v>960</v>
      </c>
      <c r="H143" s="331" t="s">
        <v>599</v>
      </c>
      <c r="I143" s="331" t="s">
        <v>599</v>
      </c>
      <c r="R143" s="331"/>
      <c r="S143">
        <f t="shared" si="5"/>
        <v>1111</v>
      </c>
    </row>
    <row r="144" spans="1:19" ht="30" customHeight="1" x14ac:dyDescent="0.2">
      <c r="A144" s="2">
        <v>144</v>
      </c>
      <c r="B144" s="331" t="str">
        <f t="shared" si="4"/>
        <v>Resistencia característica al aplastamiento del elemento principal</v>
      </c>
      <c r="D144" s="331" t="s">
        <v>432</v>
      </c>
      <c r="E144" s="331" t="s">
        <v>961</v>
      </c>
      <c r="F144" s="333" t="s">
        <v>1161</v>
      </c>
      <c r="G144" s="331" t="s">
        <v>962</v>
      </c>
      <c r="H144" s="331" t="s">
        <v>1213</v>
      </c>
      <c r="I144" s="331" t="s">
        <v>963</v>
      </c>
      <c r="R144" s="331"/>
      <c r="S144">
        <f t="shared" si="5"/>
        <v>1111</v>
      </c>
    </row>
    <row r="145" spans="1:19" ht="30" customHeight="1" x14ac:dyDescent="0.2">
      <c r="A145" s="2">
        <v>145</v>
      </c>
      <c r="B145" s="331" t="str">
        <f t="shared" si="4"/>
        <v>Capacidad axial característica de un tornillo en el elemento principal</v>
      </c>
      <c r="D145" s="331" t="s">
        <v>428</v>
      </c>
      <c r="E145" s="331" t="s">
        <v>964</v>
      </c>
      <c r="F145" s="333" t="s">
        <v>1162</v>
      </c>
      <c r="G145" s="331" t="s">
        <v>965</v>
      </c>
      <c r="H145" s="331" t="s">
        <v>966</v>
      </c>
      <c r="I145" s="331" t="s">
        <v>967</v>
      </c>
      <c r="R145" s="331"/>
      <c r="S145">
        <f t="shared" si="5"/>
        <v>1111</v>
      </c>
    </row>
    <row r="146" spans="1:19" ht="53.25" customHeight="1" x14ac:dyDescent="0.2">
      <c r="A146" s="2">
        <v>146</v>
      </c>
      <c r="B146" s="331" t="str">
        <f t="shared" si="4"/>
        <v>Capacidad de carga característica para el plano de corte para la fijación del elemento principal</v>
      </c>
      <c r="D146" s="331" t="s">
        <v>433</v>
      </c>
      <c r="E146" s="331" t="s">
        <v>968</v>
      </c>
      <c r="F146" s="333" t="s">
        <v>1163</v>
      </c>
      <c r="G146" s="334" t="s">
        <v>1259</v>
      </c>
      <c r="H146" s="331" t="s">
        <v>1227</v>
      </c>
      <c r="I146" s="331" t="s">
        <v>969</v>
      </c>
      <c r="R146" s="334"/>
      <c r="S146">
        <f t="shared" si="5"/>
        <v>1111</v>
      </c>
    </row>
    <row r="147" spans="1:19" ht="30" customHeight="1" x14ac:dyDescent="0.2">
      <c r="A147" s="2">
        <v>147</v>
      </c>
      <c r="B147" s="331" t="str">
        <f t="shared" si="4"/>
        <v>Factor de forma</v>
      </c>
      <c r="D147" s="331" t="s">
        <v>401</v>
      </c>
      <c r="E147" s="331" t="s">
        <v>784</v>
      </c>
      <c r="F147" s="333" t="s">
        <v>785</v>
      </c>
      <c r="G147" s="331" t="s">
        <v>786</v>
      </c>
      <c r="H147" s="331" t="s">
        <v>787</v>
      </c>
      <c r="I147" s="331" t="s">
        <v>788</v>
      </c>
      <c r="R147" s="331"/>
      <c r="S147">
        <f t="shared" si="5"/>
        <v>1111</v>
      </c>
    </row>
    <row r="148" spans="1:19" ht="30" customHeight="1" x14ac:dyDescent="0.2">
      <c r="A148" s="2">
        <v>148</v>
      </c>
      <c r="B148" s="331" t="str">
        <f t="shared" si="4"/>
        <v>Resistencia característica elemento principal</v>
      </c>
      <c r="D148" s="331" t="s">
        <v>435</v>
      </c>
      <c r="E148" s="331" t="s">
        <v>970</v>
      </c>
      <c r="F148" s="333" t="s">
        <v>1164</v>
      </c>
      <c r="G148" s="331" t="s">
        <v>972</v>
      </c>
      <c r="H148" s="331" t="s">
        <v>973</v>
      </c>
      <c r="I148" s="331" t="s">
        <v>974</v>
      </c>
      <c r="R148" s="331"/>
      <c r="S148">
        <f t="shared" si="5"/>
        <v>1111</v>
      </c>
    </row>
    <row r="149" spans="1:19" ht="30" customHeight="1" x14ac:dyDescent="0.2">
      <c r="A149" s="2">
        <v>149</v>
      </c>
      <c r="B149" s="331" t="str">
        <f t="shared" si="4"/>
        <v>Resistencia característica aluminio</v>
      </c>
      <c r="D149" s="331" t="s">
        <v>431</v>
      </c>
      <c r="E149" s="331" t="s">
        <v>975</v>
      </c>
      <c r="F149" s="333" t="s">
        <v>1187</v>
      </c>
      <c r="G149" s="331" t="s">
        <v>976</v>
      </c>
      <c r="H149" s="331" t="s">
        <v>977</v>
      </c>
      <c r="I149" s="331" t="s">
        <v>978</v>
      </c>
      <c r="R149" s="331"/>
      <c r="S149">
        <f t="shared" si="5"/>
        <v>1111</v>
      </c>
    </row>
    <row r="150" spans="1:19" ht="30" customHeight="1" x14ac:dyDescent="0.2">
      <c r="A150" s="2">
        <v>150</v>
      </c>
      <c r="B150" s="331" t="str">
        <f t="shared" si="4"/>
        <v>Resistencia característica al aplastamiento del elemento secundario</v>
      </c>
      <c r="D150" s="331" t="s">
        <v>430</v>
      </c>
      <c r="E150" s="331" t="s">
        <v>979</v>
      </c>
      <c r="F150" s="333" t="s">
        <v>1165</v>
      </c>
      <c r="G150" s="331" t="s">
        <v>980</v>
      </c>
      <c r="H150" s="331" t="s">
        <v>1214</v>
      </c>
      <c r="I150" s="331" t="s">
        <v>981</v>
      </c>
      <c r="R150" s="331"/>
      <c r="S150">
        <f t="shared" si="5"/>
        <v>1111</v>
      </c>
    </row>
    <row r="151" spans="1:19" ht="47.25" customHeight="1" x14ac:dyDescent="0.2">
      <c r="A151" s="2">
        <v>151</v>
      </c>
      <c r="B151" s="331" t="str">
        <f t="shared" si="4"/>
        <v>Capacidad axial característica de un tornillo en el elemento secundario</v>
      </c>
      <c r="D151" s="331" t="s">
        <v>427</v>
      </c>
      <c r="E151" s="331" t="s">
        <v>982</v>
      </c>
      <c r="F151" s="333" t="s">
        <v>1188</v>
      </c>
      <c r="G151" s="331" t="s">
        <v>983</v>
      </c>
      <c r="H151" s="331" t="s">
        <v>984</v>
      </c>
      <c r="I151" s="331" t="s">
        <v>985</v>
      </c>
      <c r="R151" s="331"/>
      <c r="S151">
        <f t="shared" si="5"/>
        <v>1111</v>
      </c>
    </row>
    <row r="152" spans="1:19" ht="51" customHeight="1" x14ac:dyDescent="0.2">
      <c r="A152" s="2">
        <v>152</v>
      </c>
      <c r="B152" s="331" t="str">
        <f t="shared" si="4"/>
        <v>Capacidad de carga característica para el plano de corte para la fijación del elemento secundario</v>
      </c>
      <c r="D152" s="331" t="s">
        <v>429</v>
      </c>
      <c r="E152" s="331" t="s">
        <v>986</v>
      </c>
      <c r="F152" s="333" t="s">
        <v>1166</v>
      </c>
      <c r="G152" s="331" t="s">
        <v>1260</v>
      </c>
      <c r="H152" s="331" t="s">
        <v>1215</v>
      </c>
      <c r="I152" s="331" t="s">
        <v>988</v>
      </c>
      <c r="R152" s="331"/>
      <c r="S152">
        <f t="shared" si="5"/>
        <v>1111</v>
      </c>
    </row>
    <row r="153" spans="1:19" ht="30" customHeight="1" x14ac:dyDescent="0.2">
      <c r="A153" s="2">
        <v>153</v>
      </c>
      <c r="B153" s="331" t="str">
        <f t="shared" si="4"/>
        <v>Resistencia característica elemento secundario</v>
      </c>
      <c r="D153" s="331" t="s">
        <v>436</v>
      </c>
      <c r="E153" s="331" t="s">
        <v>989</v>
      </c>
      <c r="F153" s="333" t="s">
        <v>1167</v>
      </c>
      <c r="G153" s="331" t="s">
        <v>991</v>
      </c>
      <c r="H153" s="331" t="s">
        <v>992</v>
      </c>
      <c r="I153" s="331" t="s">
        <v>993</v>
      </c>
      <c r="R153" s="331"/>
      <c r="S153">
        <f t="shared" si="5"/>
        <v>1111</v>
      </c>
    </row>
    <row r="154" spans="1:19" ht="30" customHeight="1" x14ac:dyDescent="0.2">
      <c r="A154" s="2">
        <v>154</v>
      </c>
      <c r="B154" s="331" t="str">
        <f t="shared" si="4"/>
        <v>Resistencia característica</v>
      </c>
      <c r="D154" s="331" t="s">
        <v>278</v>
      </c>
      <c r="E154" s="331" t="s">
        <v>994</v>
      </c>
      <c r="F154" s="333" t="s">
        <v>995</v>
      </c>
      <c r="G154" s="331" t="s">
        <v>996</v>
      </c>
      <c r="H154" s="331" t="s">
        <v>997</v>
      </c>
      <c r="I154" s="331" t="s">
        <v>998</v>
      </c>
      <c r="R154" s="331"/>
      <c r="S154">
        <f t="shared" si="5"/>
        <v>1111</v>
      </c>
    </row>
    <row r="155" spans="1:19" ht="30" customHeight="1" x14ac:dyDescent="0.2">
      <c r="A155" s="2">
        <v>155</v>
      </c>
      <c r="B155" s="331" t="str">
        <f t="shared" si="4"/>
        <v>Resistencia de diseño</v>
      </c>
      <c r="D155" s="331" t="s">
        <v>277</v>
      </c>
      <c r="E155" s="331" t="s">
        <v>999</v>
      </c>
      <c r="F155" s="333" t="s">
        <v>1189</v>
      </c>
      <c r="G155" s="331" t="s">
        <v>1000</v>
      </c>
      <c r="H155" s="331" t="s">
        <v>1001</v>
      </c>
      <c r="I155" s="331" t="s">
        <v>1002</v>
      </c>
      <c r="R155" s="331"/>
      <c r="S155">
        <f t="shared" si="5"/>
        <v>1111</v>
      </c>
    </row>
    <row r="156" spans="1:19" ht="30" customHeight="1" x14ac:dyDescent="0.2">
      <c r="A156" s="2">
        <v>156</v>
      </c>
      <c r="B156" s="331" t="str">
        <f t="shared" si="4"/>
        <v>Comprobación de la conexión</v>
      </c>
      <c r="D156" s="331" t="s">
        <v>336</v>
      </c>
      <c r="E156" s="331" t="s">
        <v>1003</v>
      </c>
      <c r="F156" s="333" t="s">
        <v>1004</v>
      </c>
      <c r="G156" s="331" t="s">
        <v>1005</v>
      </c>
      <c r="H156" s="331" t="s">
        <v>1006</v>
      </c>
      <c r="I156" s="331" t="s">
        <v>1007</v>
      </c>
      <c r="R156" s="331"/>
      <c r="S156">
        <f t="shared" si="5"/>
        <v>1111</v>
      </c>
    </row>
    <row r="157" spans="1:19" ht="30" customHeight="1" x14ac:dyDescent="0.2">
      <c r="A157" s="2">
        <v>157</v>
      </c>
      <c r="B157" s="331" t="str">
        <f t="shared" si="4"/>
        <v>6.2 Corte vertical de elevación (Fup)</v>
      </c>
      <c r="D157" s="331" t="s">
        <v>1008</v>
      </c>
      <c r="E157" s="331" t="s">
        <v>1009</v>
      </c>
      <c r="F157" s="333" t="s">
        <v>1138</v>
      </c>
      <c r="G157" s="331" t="s">
        <v>1010</v>
      </c>
      <c r="H157" s="331" t="s">
        <v>1011</v>
      </c>
      <c r="I157" s="331" t="s">
        <v>1012</v>
      </c>
      <c r="R157" s="331"/>
      <c r="S157">
        <f t="shared" si="5"/>
        <v>1111</v>
      </c>
    </row>
    <row r="158" spans="1:19" ht="30" customHeight="1" x14ac:dyDescent="0.2">
      <c r="A158" s="2">
        <v>158</v>
      </c>
      <c r="B158" s="331" t="str">
        <f t="shared" si="4"/>
        <v>Resistencia característica al aplastamiento</v>
      </c>
      <c r="D158" s="331" t="s">
        <v>426</v>
      </c>
      <c r="E158" s="331" t="s">
        <v>1013</v>
      </c>
      <c r="F158" s="333" t="s">
        <v>1168</v>
      </c>
      <c r="G158" s="331" t="s">
        <v>1014</v>
      </c>
      <c r="H158" s="331" t="s">
        <v>1216</v>
      </c>
      <c r="I158" s="331" t="s">
        <v>1015</v>
      </c>
      <c r="R158" s="331"/>
      <c r="S158">
        <f t="shared" si="5"/>
        <v>1111</v>
      </c>
    </row>
    <row r="159" spans="1:19" ht="30" customHeight="1" x14ac:dyDescent="0.2">
      <c r="A159" s="2">
        <v>159</v>
      </c>
      <c r="B159" s="331" t="str">
        <f t="shared" si="4"/>
        <v>Capacidad axial característica de un tornillo inclinado</v>
      </c>
      <c r="D159" s="331" t="s">
        <v>425</v>
      </c>
      <c r="E159" s="331" t="s">
        <v>1016</v>
      </c>
      <c r="F159" s="333" t="s">
        <v>1190</v>
      </c>
      <c r="G159" s="331" t="s">
        <v>1017</v>
      </c>
      <c r="H159" s="331" t="s">
        <v>1018</v>
      </c>
      <c r="I159" s="331" t="s">
        <v>1019</v>
      </c>
      <c r="R159" s="331"/>
      <c r="S159">
        <f t="shared" si="5"/>
        <v>1111</v>
      </c>
    </row>
    <row r="160" spans="1:19" ht="30" customHeight="1" x14ac:dyDescent="0.2">
      <c r="A160" s="2">
        <v>160</v>
      </c>
      <c r="B160" s="331" t="str">
        <f t="shared" si="4"/>
        <v>Resistencia característica elemento principal</v>
      </c>
      <c r="D160" s="331" t="s">
        <v>435</v>
      </c>
      <c r="E160" s="331" t="s">
        <v>970</v>
      </c>
      <c r="F160" s="333" t="s">
        <v>971</v>
      </c>
      <c r="G160" s="331" t="s">
        <v>972</v>
      </c>
      <c r="H160" s="331" t="s">
        <v>973</v>
      </c>
      <c r="I160" s="331" t="s">
        <v>974</v>
      </c>
      <c r="R160" s="331"/>
      <c r="S160">
        <f t="shared" si="5"/>
        <v>1111</v>
      </c>
    </row>
    <row r="161" spans="1:19" ht="30" customHeight="1" x14ac:dyDescent="0.2">
      <c r="A161" s="2">
        <v>161</v>
      </c>
      <c r="B161" s="331" t="str">
        <f t="shared" si="4"/>
        <v>Resistencia característica aluminio</v>
      </c>
      <c r="D161" s="331" t="s">
        <v>431</v>
      </c>
      <c r="E161" s="331" t="s">
        <v>975</v>
      </c>
      <c r="F161" s="333" t="s">
        <v>1187</v>
      </c>
      <c r="G161" s="331" t="s">
        <v>976</v>
      </c>
      <c r="H161" s="331" t="s">
        <v>977</v>
      </c>
      <c r="I161" s="331" t="s">
        <v>978</v>
      </c>
      <c r="R161" s="331"/>
      <c r="S161">
        <f t="shared" si="5"/>
        <v>1111</v>
      </c>
    </row>
    <row r="162" spans="1:19" ht="30" customHeight="1" x14ac:dyDescent="0.2">
      <c r="A162" s="2">
        <v>162</v>
      </c>
      <c r="B162" s="331" t="str">
        <f t="shared" si="4"/>
        <v>Resistencia característica al aplastamiento</v>
      </c>
      <c r="D162" s="331" t="s">
        <v>426</v>
      </c>
      <c r="E162" s="331" t="s">
        <v>1013</v>
      </c>
      <c r="F162" s="333" t="s">
        <v>1191</v>
      </c>
      <c r="G162" s="334" t="s">
        <v>1261</v>
      </c>
      <c r="H162" s="331" t="s">
        <v>1216</v>
      </c>
      <c r="I162" s="331" t="s">
        <v>1015</v>
      </c>
      <c r="R162" s="334"/>
      <c r="S162">
        <f t="shared" si="5"/>
        <v>1111</v>
      </c>
    </row>
    <row r="163" spans="1:19" ht="30" customHeight="1" x14ac:dyDescent="0.2">
      <c r="A163" s="2">
        <v>163</v>
      </c>
      <c r="B163" s="331" t="str">
        <f t="shared" si="4"/>
        <v>Capacidad axial característica de un tornillo inclinado</v>
      </c>
      <c r="D163" s="331" t="s">
        <v>425</v>
      </c>
      <c r="E163" s="331" t="s">
        <v>1016</v>
      </c>
      <c r="F163" s="333" t="s">
        <v>1190</v>
      </c>
      <c r="G163" s="331" t="s">
        <v>1017</v>
      </c>
      <c r="H163" s="331" t="s">
        <v>1018</v>
      </c>
      <c r="I163" s="331" t="s">
        <v>1019</v>
      </c>
      <c r="R163" s="331"/>
      <c r="S163">
        <f t="shared" si="5"/>
        <v>1111</v>
      </c>
    </row>
    <row r="164" spans="1:19" ht="43.5" customHeight="1" x14ac:dyDescent="0.2">
      <c r="A164" s="2">
        <v>164</v>
      </c>
      <c r="B164" s="331" t="str">
        <f t="shared" si="4"/>
        <v>Capacidad de carga característica para el plano de corte para la fijación del elemento secundario</v>
      </c>
      <c r="D164" s="331" t="s">
        <v>429</v>
      </c>
      <c r="E164" s="331" t="s">
        <v>1020</v>
      </c>
      <c r="F164" s="333" t="s">
        <v>1192</v>
      </c>
      <c r="G164" s="331" t="s">
        <v>987</v>
      </c>
      <c r="H164" s="331" t="s">
        <v>1215</v>
      </c>
      <c r="I164" s="331" t="s">
        <v>988</v>
      </c>
      <c r="R164" s="331"/>
      <c r="S164">
        <f t="shared" si="5"/>
        <v>1111</v>
      </c>
    </row>
    <row r="165" spans="1:19" ht="30" customHeight="1" x14ac:dyDescent="0.2">
      <c r="A165" s="2">
        <v>165</v>
      </c>
      <c r="B165" s="331" t="str">
        <f t="shared" si="4"/>
        <v>Resistencia característica elemento secundario</v>
      </c>
      <c r="D165" s="331" t="s">
        <v>436</v>
      </c>
      <c r="E165" s="331" t="s">
        <v>989</v>
      </c>
      <c r="F165" s="333" t="s">
        <v>990</v>
      </c>
      <c r="G165" s="331" t="s">
        <v>991</v>
      </c>
      <c r="H165" s="331" t="s">
        <v>992</v>
      </c>
      <c r="I165" s="331" t="s">
        <v>993</v>
      </c>
      <c r="R165" s="331"/>
      <c r="S165">
        <f t="shared" si="5"/>
        <v>1111</v>
      </c>
    </row>
    <row r="166" spans="1:19" ht="30" customHeight="1" x14ac:dyDescent="0.2">
      <c r="A166" s="2">
        <v>166</v>
      </c>
      <c r="B166" s="331" t="str">
        <f t="shared" si="4"/>
        <v>Resistencia característica</v>
      </c>
      <c r="D166" s="331" t="s">
        <v>278</v>
      </c>
      <c r="E166" s="331" t="s">
        <v>994</v>
      </c>
      <c r="F166" s="333" t="s">
        <v>995</v>
      </c>
      <c r="G166" s="331" t="s">
        <v>996</v>
      </c>
      <c r="H166" s="331" t="s">
        <v>997</v>
      </c>
      <c r="I166" s="331" t="s">
        <v>998</v>
      </c>
      <c r="R166" s="331"/>
      <c r="S166">
        <f t="shared" si="5"/>
        <v>1111</v>
      </c>
    </row>
    <row r="167" spans="1:19" ht="30" customHeight="1" x14ac:dyDescent="0.2">
      <c r="A167" s="2">
        <v>167</v>
      </c>
      <c r="B167" s="331" t="str">
        <f t="shared" si="4"/>
        <v>Resistencia de diseño</v>
      </c>
      <c r="D167" s="331" t="s">
        <v>277</v>
      </c>
      <c r="E167" s="331" t="s">
        <v>999</v>
      </c>
      <c r="F167" s="333" t="s">
        <v>1189</v>
      </c>
      <c r="G167" s="331" t="s">
        <v>1000</v>
      </c>
      <c r="H167" s="331" t="s">
        <v>1001</v>
      </c>
      <c r="I167" s="331" t="s">
        <v>1002</v>
      </c>
      <c r="R167" s="331"/>
      <c r="S167">
        <f t="shared" si="5"/>
        <v>1111</v>
      </c>
    </row>
    <row r="168" spans="1:19" ht="30" customHeight="1" x14ac:dyDescent="0.2">
      <c r="A168" s="2">
        <v>168</v>
      </c>
      <c r="B168" s="331" t="str">
        <f t="shared" si="4"/>
        <v>Comprobación de la conexión</v>
      </c>
      <c r="D168" s="331" t="s">
        <v>336</v>
      </c>
      <c r="E168" s="331" t="s">
        <v>1003</v>
      </c>
      <c r="F168" s="333" t="s">
        <v>1004</v>
      </c>
      <c r="G168" s="331" t="s">
        <v>1005</v>
      </c>
      <c r="H168" s="331" t="s">
        <v>1006</v>
      </c>
      <c r="I168" s="331" t="s">
        <v>1007</v>
      </c>
      <c r="R168" s="331"/>
      <c r="S168">
        <f t="shared" si="5"/>
        <v>1111</v>
      </c>
    </row>
    <row r="169" spans="1:19" ht="30" customHeight="1" x14ac:dyDescent="0.2">
      <c r="A169" s="2">
        <v>169</v>
      </c>
      <c r="B169" s="331" t="str">
        <f t="shared" si="4"/>
        <v>6.3 Axial (Fax)</v>
      </c>
      <c r="D169" s="331" t="s">
        <v>482</v>
      </c>
      <c r="E169" s="331" t="s">
        <v>606</v>
      </c>
      <c r="F169" s="333" t="s">
        <v>606</v>
      </c>
      <c r="G169" s="331" t="s">
        <v>607</v>
      </c>
      <c r="H169" s="331" t="s">
        <v>606</v>
      </c>
      <c r="I169" s="331" t="s">
        <v>608</v>
      </c>
      <c r="R169" s="331"/>
      <c r="S169">
        <f t="shared" si="5"/>
        <v>1111</v>
      </c>
    </row>
    <row r="170" spans="1:19" ht="30" customHeight="1" x14ac:dyDescent="0.2">
      <c r="A170" s="2">
        <v>170</v>
      </c>
      <c r="B170" s="331" t="str">
        <f t="shared" si="4"/>
        <v>Resistencia característica elemento principal</v>
      </c>
      <c r="D170" s="331" t="s">
        <v>435</v>
      </c>
      <c r="E170" s="331" t="s">
        <v>970</v>
      </c>
      <c r="F170" s="333" t="s">
        <v>1164</v>
      </c>
      <c r="G170" s="331" t="s">
        <v>972</v>
      </c>
      <c r="H170" s="331" t="s">
        <v>973</v>
      </c>
      <c r="I170" s="331" t="s">
        <v>974</v>
      </c>
      <c r="R170" s="331"/>
      <c r="S170">
        <f t="shared" si="5"/>
        <v>1111</v>
      </c>
    </row>
    <row r="171" spans="1:19" ht="30" customHeight="1" x14ac:dyDescent="0.2">
      <c r="A171" s="2">
        <v>171</v>
      </c>
      <c r="B171" s="331" t="str">
        <f t="shared" si="4"/>
        <v>Resistencia característica aluminio</v>
      </c>
      <c r="D171" s="331" t="s">
        <v>431</v>
      </c>
      <c r="E171" s="331" t="s">
        <v>975</v>
      </c>
      <c r="F171" s="333" t="s">
        <v>1187</v>
      </c>
      <c r="G171" s="331" t="s">
        <v>976</v>
      </c>
      <c r="H171" s="331" t="s">
        <v>977</v>
      </c>
      <c r="I171" s="331" t="s">
        <v>978</v>
      </c>
      <c r="R171" s="331"/>
      <c r="S171">
        <f t="shared" si="5"/>
        <v>1111</v>
      </c>
    </row>
    <row r="172" spans="1:19" ht="30" customHeight="1" x14ac:dyDescent="0.2">
      <c r="A172" s="2">
        <v>172</v>
      </c>
      <c r="B172" s="331" t="str">
        <f t="shared" si="4"/>
        <v>Resistencia característica elemento secundario</v>
      </c>
      <c r="D172" s="331" t="s">
        <v>436</v>
      </c>
      <c r="E172" s="331" t="s">
        <v>989</v>
      </c>
      <c r="F172" s="333" t="s">
        <v>1167</v>
      </c>
      <c r="G172" s="331" t="s">
        <v>991</v>
      </c>
      <c r="H172" s="331" t="s">
        <v>992</v>
      </c>
      <c r="I172" s="331" t="s">
        <v>993</v>
      </c>
      <c r="R172" s="331"/>
      <c r="S172">
        <f t="shared" si="5"/>
        <v>1111</v>
      </c>
    </row>
    <row r="173" spans="1:19" ht="30" customHeight="1" x14ac:dyDescent="0.2">
      <c r="A173" s="2">
        <v>173</v>
      </c>
      <c r="B173" s="331" t="str">
        <f t="shared" si="4"/>
        <v>Resistencia característica</v>
      </c>
      <c r="D173" s="331" t="s">
        <v>278</v>
      </c>
      <c r="E173" s="331" t="s">
        <v>994</v>
      </c>
      <c r="F173" s="333" t="s">
        <v>995</v>
      </c>
      <c r="G173" s="331" t="s">
        <v>996</v>
      </c>
      <c r="H173" s="331" t="s">
        <v>997</v>
      </c>
      <c r="I173" s="331" t="s">
        <v>998</v>
      </c>
      <c r="R173" s="331"/>
      <c r="S173">
        <f t="shared" si="5"/>
        <v>1111</v>
      </c>
    </row>
    <row r="174" spans="1:19" ht="30" customHeight="1" x14ac:dyDescent="0.2">
      <c r="A174" s="2">
        <v>174</v>
      </c>
      <c r="B174" s="331" t="str">
        <f t="shared" si="4"/>
        <v>Resistencia de diseño</v>
      </c>
      <c r="D174" s="331" t="s">
        <v>277</v>
      </c>
      <c r="E174" s="331" t="s">
        <v>999</v>
      </c>
      <c r="F174" s="333" t="s">
        <v>1189</v>
      </c>
      <c r="G174" s="331" t="s">
        <v>1000</v>
      </c>
      <c r="H174" s="331" t="s">
        <v>1001</v>
      </c>
      <c r="I174" s="331" t="s">
        <v>1002</v>
      </c>
      <c r="R174" s="331"/>
      <c r="S174">
        <f t="shared" si="5"/>
        <v>1111</v>
      </c>
    </row>
    <row r="175" spans="1:19" ht="30" customHeight="1" x14ac:dyDescent="0.2">
      <c r="A175" s="2">
        <v>175</v>
      </c>
      <c r="B175" s="331" t="str">
        <f t="shared" si="4"/>
        <v>Comprobación de la conexión</v>
      </c>
      <c r="D175" s="331" t="s">
        <v>336</v>
      </c>
      <c r="E175" s="331" t="s">
        <v>1003</v>
      </c>
      <c r="F175" s="333" t="s">
        <v>1004</v>
      </c>
      <c r="G175" s="331" t="s">
        <v>1005</v>
      </c>
      <c r="H175" s="331" t="s">
        <v>1006</v>
      </c>
      <c r="I175" s="331" t="s">
        <v>1007</v>
      </c>
      <c r="R175" s="331"/>
      <c r="S175">
        <f t="shared" si="5"/>
        <v>1111</v>
      </c>
    </row>
    <row r="176" spans="1:19" ht="30" customHeight="1" x14ac:dyDescent="0.2">
      <c r="A176" s="2">
        <v>176</v>
      </c>
      <c r="B176" s="331" t="str">
        <f t="shared" si="4"/>
        <v>6.4 Corte lateral (Flat)</v>
      </c>
      <c r="D176" s="331" t="s">
        <v>483</v>
      </c>
      <c r="E176" s="331" t="s">
        <v>609</v>
      </c>
      <c r="F176" s="333" t="s">
        <v>1021</v>
      </c>
      <c r="G176" s="331" t="s">
        <v>610</v>
      </c>
      <c r="H176" s="331" t="s">
        <v>611</v>
      </c>
      <c r="I176" s="331" t="s">
        <v>611</v>
      </c>
      <c r="R176" s="331"/>
      <c r="S176">
        <f t="shared" si="5"/>
        <v>1111</v>
      </c>
    </row>
    <row r="177" spans="1:19" ht="30" customHeight="1" x14ac:dyDescent="0.2">
      <c r="A177" s="2">
        <v>177</v>
      </c>
      <c r="B177" s="331" t="str">
        <f t="shared" si="4"/>
        <v>Número efectivo de tornillos para elemento secundario o principal</v>
      </c>
      <c r="D177" s="331" t="s">
        <v>409</v>
      </c>
      <c r="E177" s="331" t="s">
        <v>1022</v>
      </c>
      <c r="F177" s="333" t="s">
        <v>1193</v>
      </c>
      <c r="G177" s="331" t="s">
        <v>1023</v>
      </c>
      <c r="H177" s="331" t="s">
        <v>1024</v>
      </c>
      <c r="I177" s="331" t="s">
        <v>1025</v>
      </c>
      <c r="R177" s="331"/>
      <c r="S177">
        <f t="shared" si="5"/>
        <v>1111</v>
      </c>
    </row>
    <row r="178" spans="1:19" ht="30" customHeight="1" x14ac:dyDescent="0.2">
      <c r="A178" s="2">
        <v>178</v>
      </c>
      <c r="B178" s="331" t="str">
        <f t="shared" si="4"/>
        <v>Factor de forma</v>
      </c>
      <c r="D178" s="331" t="s">
        <v>401</v>
      </c>
      <c r="E178" s="331" t="s">
        <v>784</v>
      </c>
      <c r="F178" s="333" t="s">
        <v>785</v>
      </c>
      <c r="G178" s="331" t="s">
        <v>786</v>
      </c>
      <c r="H178" s="331" t="s">
        <v>787</v>
      </c>
      <c r="I178" s="331" t="s">
        <v>788</v>
      </c>
      <c r="R178" s="331"/>
      <c r="S178">
        <f t="shared" si="5"/>
        <v>1111</v>
      </c>
    </row>
    <row r="179" spans="1:19" ht="30" customHeight="1" x14ac:dyDescent="0.2">
      <c r="A179" s="2">
        <v>179</v>
      </c>
      <c r="B179" s="331" t="str">
        <f t="shared" si="4"/>
        <v>Coeficiente de acuerdo con EN 1995-1-1, 6.1.5</v>
      </c>
      <c r="D179" s="331" t="s">
        <v>411</v>
      </c>
      <c r="E179" s="331" t="s">
        <v>1026</v>
      </c>
      <c r="F179" s="333" t="s">
        <v>1027</v>
      </c>
      <c r="G179" s="331" t="s">
        <v>1028</v>
      </c>
      <c r="H179" s="331" t="s">
        <v>1029</v>
      </c>
      <c r="I179" s="331" t="s">
        <v>1030</v>
      </c>
      <c r="R179" s="331"/>
      <c r="S179">
        <f t="shared" si="5"/>
        <v>1111</v>
      </c>
    </row>
    <row r="180" spans="1:19" ht="30" customHeight="1" x14ac:dyDescent="0.2">
      <c r="A180" s="2">
        <v>180</v>
      </c>
      <c r="B180" s="331" t="str">
        <f t="shared" si="4"/>
        <v>Coeficiente de acuerdo con EN 1995-1-1, eq. 6.62</v>
      </c>
      <c r="D180" s="331" t="s">
        <v>410</v>
      </c>
      <c r="E180" s="331" t="s">
        <v>1031</v>
      </c>
      <c r="F180" s="333" t="s">
        <v>1032</v>
      </c>
      <c r="G180" s="331" t="s">
        <v>1033</v>
      </c>
      <c r="H180" s="331" t="s">
        <v>1034</v>
      </c>
      <c r="I180" s="331" t="s">
        <v>1035</v>
      </c>
      <c r="R180" s="331"/>
      <c r="S180">
        <f t="shared" si="5"/>
        <v>1111</v>
      </c>
    </row>
    <row r="181" spans="1:19" ht="30" customHeight="1" x14ac:dyDescent="0.2">
      <c r="A181" s="2">
        <v>181</v>
      </c>
      <c r="B181" s="331" t="str">
        <f t="shared" si="4"/>
        <v>Resistencia característica</v>
      </c>
      <c r="D181" s="331" t="s">
        <v>278</v>
      </c>
      <c r="E181" s="331" t="s">
        <v>994</v>
      </c>
      <c r="F181" s="333" t="s">
        <v>995</v>
      </c>
      <c r="G181" s="331" t="s">
        <v>996</v>
      </c>
      <c r="H181" s="331" t="s">
        <v>997</v>
      </c>
      <c r="I181" s="331" t="s">
        <v>998</v>
      </c>
      <c r="R181" s="331"/>
      <c r="S181">
        <f t="shared" si="5"/>
        <v>1111</v>
      </c>
    </row>
    <row r="182" spans="1:19" ht="30" customHeight="1" x14ac:dyDescent="0.2">
      <c r="A182" s="2">
        <v>182</v>
      </c>
      <c r="B182" s="331" t="str">
        <f t="shared" si="4"/>
        <v>Resistencia de diseño</v>
      </c>
      <c r="D182" s="331" t="s">
        <v>277</v>
      </c>
      <c r="E182" s="331" t="s">
        <v>999</v>
      </c>
      <c r="F182" s="333" t="s">
        <v>1189</v>
      </c>
      <c r="G182" s="331" t="s">
        <v>1000</v>
      </c>
      <c r="H182" s="331" t="s">
        <v>1001</v>
      </c>
      <c r="I182" s="331" t="s">
        <v>1002</v>
      </c>
      <c r="R182" s="331"/>
      <c r="S182">
        <f t="shared" si="5"/>
        <v>1111</v>
      </c>
    </row>
    <row r="183" spans="1:19" ht="30" customHeight="1" x14ac:dyDescent="0.2">
      <c r="A183" s="2">
        <v>183</v>
      </c>
      <c r="B183" s="331" t="str">
        <f t="shared" si="4"/>
        <v>Comprobación de la conexión</v>
      </c>
      <c r="D183" s="331" t="s">
        <v>336</v>
      </c>
      <c r="E183" s="331" t="s">
        <v>1003</v>
      </c>
      <c r="F183" s="333" t="s">
        <v>1004</v>
      </c>
      <c r="G183" s="331" t="s">
        <v>1005</v>
      </c>
      <c r="H183" s="331" t="s">
        <v>1006</v>
      </c>
      <c r="I183" s="331" t="s">
        <v>1007</v>
      </c>
      <c r="R183" s="331"/>
      <c r="S183">
        <f t="shared" si="5"/>
        <v>1111</v>
      </c>
    </row>
    <row r="184" spans="1:19" ht="30" customHeight="1" x14ac:dyDescent="0.2">
      <c r="A184" s="2">
        <v>184</v>
      </c>
      <c r="B184" s="331" t="str">
        <f t="shared" si="4"/>
        <v>7. Comprobaciones de diseño en caso de cargas combinadas</v>
      </c>
      <c r="D184" s="331" t="s">
        <v>445</v>
      </c>
      <c r="E184" s="331" t="s">
        <v>1036</v>
      </c>
      <c r="F184" s="333" t="s">
        <v>1194</v>
      </c>
      <c r="G184" s="331" t="s">
        <v>1037</v>
      </c>
      <c r="H184" s="331" t="s">
        <v>1228</v>
      </c>
      <c r="I184" s="331" t="s">
        <v>1248</v>
      </c>
      <c r="R184" s="331"/>
      <c r="S184">
        <f t="shared" si="5"/>
        <v>1111</v>
      </c>
    </row>
    <row r="185" spans="1:19" ht="30" customHeight="1" x14ac:dyDescent="0.2">
      <c r="A185" s="2">
        <v>185</v>
      </c>
      <c r="B185" s="331" t="str">
        <f t="shared" si="4"/>
        <v>¿Es necesaria la comprobación de cargas combinadas?</v>
      </c>
      <c r="D185" s="331" t="s">
        <v>446</v>
      </c>
      <c r="E185" s="331" t="s">
        <v>1038</v>
      </c>
      <c r="F185" s="333" t="s">
        <v>1195</v>
      </c>
      <c r="G185" s="331" t="s">
        <v>1039</v>
      </c>
      <c r="H185" s="331" t="s">
        <v>1229</v>
      </c>
      <c r="I185" s="331" t="s">
        <v>1249</v>
      </c>
      <c r="R185" s="331"/>
      <c r="S185">
        <f t="shared" si="5"/>
        <v>1111</v>
      </c>
    </row>
    <row r="186" spans="1:19" ht="30" customHeight="1" x14ac:dyDescent="0.2">
      <c r="A186" s="2">
        <v>186</v>
      </c>
      <c r="B186" s="331" t="str">
        <f t="shared" si="4"/>
        <v>Corte vertical</v>
      </c>
      <c r="D186" s="331" t="s">
        <v>447</v>
      </c>
      <c r="E186" s="331" t="s">
        <v>1040</v>
      </c>
      <c r="F186" s="333" t="s">
        <v>1041</v>
      </c>
      <c r="G186" s="331" t="s">
        <v>1042</v>
      </c>
      <c r="H186" s="331" t="s">
        <v>1043</v>
      </c>
      <c r="I186" s="331" t="s">
        <v>1043</v>
      </c>
      <c r="R186" s="331"/>
      <c r="S186">
        <f t="shared" si="5"/>
        <v>1111</v>
      </c>
    </row>
    <row r="187" spans="1:19" ht="30" customHeight="1" x14ac:dyDescent="0.2">
      <c r="A187" s="2">
        <v>187</v>
      </c>
      <c r="B187" s="331" t="str">
        <f t="shared" si="4"/>
        <v>Corte vertical de elevación</v>
      </c>
      <c r="D187" s="331" t="s">
        <v>448</v>
      </c>
      <c r="E187" s="331" t="s">
        <v>1044</v>
      </c>
      <c r="F187" s="333" t="s">
        <v>1169</v>
      </c>
      <c r="G187" s="331" t="s">
        <v>1045</v>
      </c>
      <c r="H187" s="331" t="s">
        <v>1046</v>
      </c>
      <c r="I187" s="331" t="s">
        <v>1047</v>
      </c>
      <c r="R187" s="331"/>
      <c r="S187">
        <f t="shared" si="5"/>
        <v>1111</v>
      </c>
    </row>
    <row r="188" spans="1:19" ht="30" customHeight="1" x14ac:dyDescent="0.2">
      <c r="A188" s="2">
        <v>188</v>
      </c>
      <c r="B188" s="331" t="str">
        <f t="shared" si="4"/>
        <v>Acción axial</v>
      </c>
      <c r="D188" s="331" t="s">
        <v>264</v>
      </c>
      <c r="E188" s="331" t="s">
        <v>658</v>
      </c>
      <c r="F188" s="333" t="s">
        <v>1048</v>
      </c>
      <c r="G188" s="331" t="s">
        <v>659</v>
      </c>
      <c r="H188" s="331" t="s">
        <v>660</v>
      </c>
      <c r="I188" s="331" t="s">
        <v>661</v>
      </c>
      <c r="R188" s="331"/>
      <c r="S188">
        <f t="shared" si="5"/>
        <v>1111</v>
      </c>
    </row>
    <row r="189" spans="1:19" ht="30" customHeight="1" x14ac:dyDescent="0.2">
      <c r="A189" s="2">
        <v>189</v>
      </c>
      <c r="B189" s="331" t="str">
        <f t="shared" si="4"/>
        <v>Corte lateral</v>
      </c>
      <c r="D189" s="331" t="s">
        <v>449</v>
      </c>
      <c r="E189" s="331" t="s">
        <v>1049</v>
      </c>
      <c r="F189" s="333" t="s">
        <v>1050</v>
      </c>
      <c r="G189" s="331" t="s">
        <v>1051</v>
      </c>
      <c r="H189" s="331" t="s">
        <v>1052</v>
      </c>
      <c r="I189" s="331" t="s">
        <v>1052</v>
      </c>
      <c r="R189" s="331"/>
      <c r="S189">
        <f t="shared" si="5"/>
        <v>1111</v>
      </c>
    </row>
    <row r="190" spans="1:19" ht="75" customHeight="1" x14ac:dyDescent="0.2">
      <c r="A190" s="2">
        <v>190</v>
      </c>
      <c r="B190" s="331" t="str">
        <f t="shared" si="4"/>
        <v>Fv,d y Fup,d son fuerzas que actúan en direcciones opuestas. Por lo tanto, solo una de las fuerzas Fv,d y Fup,d puede actuar en combinación con las fuerzas Fax,d o Flat,d.</v>
      </c>
      <c r="D190" s="331" t="s">
        <v>479</v>
      </c>
      <c r="E190" s="331" t="s">
        <v>1053</v>
      </c>
      <c r="F190" s="333" t="s">
        <v>1054</v>
      </c>
      <c r="G190" s="331" t="s">
        <v>1055</v>
      </c>
      <c r="H190" s="331" t="s">
        <v>1230</v>
      </c>
      <c r="I190" s="331" t="s">
        <v>1056</v>
      </c>
      <c r="R190" s="331"/>
      <c r="S190">
        <f t="shared" si="5"/>
        <v>1111</v>
      </c>
    </row>
    <row r="191" spans="1:19" ht="52.5" customHeight="1" x14ac:dyDescent="0.2">
      <c r="A191" s="2">
        <v>191</v>
      </c>
      <c r="B191" s="331" t="str">
        <f t="shared" si="4"/>
        <v>Seleccione las tensiones que se deben tener en cuenta en la comprobación combinada.</v>
      </c>
      <c r="D191" s="331" t="s">
        <v>1276</v>
      </c>
      <c r="E191" s="331" t="s">
        <v>1057</v>
      </c>
      <c r="F191" s="333" t="s">
        <v>1196</v>
      </c>
      <c r="G191" s="331" t="s">
        <v>1058</v>
      </c>
      <c r="H191" s="331" t="s">
        <v>1231</v>
      </c>
      <c r="I191" s="331" t="s">
        <v>1250</v>
      </c>
      <c r="R191" s="331"/>
      <c r="S191">
        <f t="shared" si="5"/>
        <v>1111</v>
      </c>
    </row>
    <row r="192" spans="1:19" ht="30" customHeight="1" x14ac:dyDescent="0.2">
      <c r="A192" s="2">
        <v>192</v>
      </c>
      <c r="B192" s="331" t="str">
        <f t="shared" si="4"/>
        <v>8. Resumen de cantidad y códigos de producto</v>
      </c>
      <c r="D192" s="331" t="s">
        <v>514</v>
      </c>
      <c r="E192" s="331" t="s">
        <v>1059</v>
      </c>
      <c r="F192" s="333" t="s">
        <v>1197</v>
      </c>
      <c r="G192" s="331" t="s">
        <v>1060</v>
      </c>
      <c r="H192" s="331" t="s">
        <v>1217</v>
      </c>
      <c r="I192" s="331" t="s">
        <v>1061</v>
      </c>
      <c r="R192" s="331"/>
      <c r="S192">
        <f t="shared" si="5"/>
        <v>1111</v>
      </c>
    </row>
    <row r="193" spans="1:19" ht="30" customHeight="1" x14ac:dyDescent="0.2">
      <c r="A193" s="2">
        <v>193</v>
      </c>
      <c r="B193" s="331" t="str">
        <f t="shared" si="4"/>
        <v>Número de conexiones</v>
      </c>
      <c r="D193" s="331" t="s">
        <v>504</v>
      </c>
      <c r="E193" s="331" t="s">
        <v>1062</v>
      </c>
      <c r="F193" s="333" t="s">
        <v>1063</v>
      </c>
      <c r="G193" s="331" t="s">
        <v>1064</v>
      </c>
      <c r="H193" s="331" t="s">
        <v>1065</v>
      </c>
      <c r="I193" s="331" t="s">
        <v>1066</v>
      </c>
      <c r="R193" s="331"/>
      <c r="S193">
        <f t="shared" si="5"/>
        <v>1111</v>
      </c>
    </row>
    <row r="194" spans="1:19" ht="30" customHeight="1" x14ac:dyDescent="0.2">
      <c r="A194" s="2">
        <v>194</v>
      </c>
      <c r="B194" s="331" t="str">
        <f t="shared" si="4"/>
        <v>Código</v>
      </c>
      <c r="D194" s="331" t="s">
        <v>505</v>
      </c>
      <c r="E194" s="331" t="s">
        <v>1067</v>
      </c>
      <c r="F194" s="333" t="s">
        <v>1068</v>
      </c>
      <c r="G194" s="331" t="s">
        <v>1067</v>
      </c>
      <c r="H194" s="331" t="s">
        <v>1069</v>
      </c>
      <c r="I194" s="331" t="s">
        <v>1069</v>
      </c>
      <c r="R194" s="331"/>
      <c r="S194">
        <f t="shared" si="5"/>
        <v>1111</v>
      </c>
    </row>
    <row r="195" spans="1:19" ht="30" customHeight="1" x14ac:dyDescent="0.2">
      <c r="A195" s="2">
        <v>195</v>
      </c>
      <c r="B195" s="331" t="str">
        <f t="shared" ref="B195:B206" si="6">HLOOKUP($B$1,$D$1:$I$206,A195,FALSE)</f>
        <v>Cantidad necesaria</v>
      </c>
      <c r="D195" s="331" t="s">
        <v>511</v>
      </c>
      <c r="E195" s="331" t="s">
        <v>1070</v>
      </c>
      <c r="F195" s="333" t="s">
        <v>1198</v>
      </c>
      <c r="G195" s="331" t="s">
        <v>1071</v>
      </c>
      <c r="H195" s="331" t="s">
        <v>1072</v>
      </c>
      <c r="I195" s="331" t="s">
        <v>1073</v>
      </c>
      <c r="R195" s="331"/>
      <c r="S195">
        <f t="shared" ref="S195:S210" si="7">IF(R195=G195,0,1111)</f>
        <v>1111</v>
      </c>
    </row>
    <row r="196" spans="1:19" ht="30" customHeight="1" x14ac:dyDescent="0.2">
      <c r="A196" s="2">
        <v>196</v>
      </c>
      <c r="B196" s="331" t="str">
        <f t="shared" si="6"/>
        <v>unid.</v>
      </c>
      <c r="D196" s="331" t="s">
        <v>512</v>
      </c>
      <c r="E196" s="331" t="s">
        <v>1074</v>
      </c>
      <c r="F196" s="333" t="s">
        <v>1075</v>
      </c>
      <c r="G196" s="331" t="s">
        <v>1076</v>
      </c>
      <c r="H196" s="331" t="s">
        <v>1077</v>
      </c>
      <c r="I196" s="331" t="s">
        <v>1078</v>
      </c>
      <c r="R196" s="331"/>
      <c r="S196">
        <f t="shared" si="7"/>
        <v>1111</v>
      </c>
    </row>
    <row r="197" spans="1:19" ht="30" customHeight="1" x14ac:dyDescent="0.2">
      <c r="A197" s="2">
        <v>197</v>
      </c>
      <c r="B197" s="331" t="str">
        <f t="shared" si="6"/>
        <v>Conector oculto</v>
      </c>
      <c r="D197" s="331" t="s">
        <v>507</v>
      </c>
      <c r="E197" s="331" t="s">
        <v>1079</v>
      </c>
      <c r="F197" s="333" t="s">
        <v>1080</v>
      </c>
      <c r="G197" s="331" t="s">
        <v>1081</v>
      </c>
      <c r="H197" s="331" t="s">
        <v>1082</v>
      </c>
      <c r="I197" s="331" t="s">
        <v>1083</v>
      </c>
      <c r="R197" s="331"/>
      <c r="S197">
        <f t="shared" si="7"/>
        <v>1111</v>
      </c>
    </row>
    <row r="198" spans="1:19" ht="30" customHeight="1" x14ac:dyDescent="0.2">
      <c r="A198" s="2">
        <v>198</v>
      </c>
      <c r="B198" s="331" t="str">
        <f t="shared" si="6"/>
        <v>Segundo conector oculto, si conectores en pares</v>
      </c>
      <c r="D198" s="331" t="s">
        <v>508</v>
      </c>
      <c r="E198" s="331" t="s">
        <v>1084</v>
      </c>
      <c r="F198" s="333" t="s">
        <v>1199</v>
      </c>
      <c r="G198" s="331" t="s">
        <v>1085</v>
      </c>
      <c r="H198" s="331" t="s">
        <v>1086</v>
      </c>
      <c r="I198" s="331" t="s">
        <v>1087</v>
      </c>
      <c r="R198" s="331"/>
      <c r="S198">
        <f t="shared" si="7"/>
        <v>1111</v>
      </c>
    </row>
    <row r="199" spans="1:19" ht="30" customHeight="1" x14ac:dyDescent="0.2">
      <c r="A199" s="2">
        <v>199</v>
      </c>
      <c r="B199" s="331" t="str">
        <f t="shared" si="6"/>
        <v>Tornillos fijación elemento principal</v>
      </c>
      <c r="D199" s="331" t="s">
        <v>503</v>
      </c>
      <c r="E199" s="331" t="s">
        <v>806</v>
      </c>
      <c r="F199" s="333" t="s">
        <v>807</v>
      </c>
      <c r="G199" s="331" t="s">
        <v>808</v>
      </c>
      <c r="H199" s="331" t="s">
        <v>809</v>
      </c>
      <c r="I199" s="331" t="s">
        <v>810</v>
      </c>
      <c r="R199" s="331"/>
      <c r="S199">
        <f t="shared" si="7"/>
        <v>1111</v>
      </c>
    </row>
    <row r="200" spans="1:19" ht="30" customHeight="1" x14ac:dyDescent="0.2">
      <c r="A200" s="2">
        <v>200</v>
      </c>
      <c r="B200" s="331" t="str">
        <f t="shared" si="6"/>
        <v>Tornillos fijación viga secundaria</v>
      </c>
      <c r="D200" s="331" t="s">
        <v>276</v>
      </c>
      <c r="E200" s="331" t="s">
        <v>855</v>
      </c>
      <c r="F200" s="333" t="s">
        <v>856</v>
      </c>
      <c r="G200" s="331" t="s">
        <v>857</v>
      </c>
      <c r="H200" s="331" t="s">
        <v>858</v>
      </c>
      <c r="I200" s="331" t="s">
        <v>859</v>
      </c>
      <c r="R200" s="331"/>
      <c r="S200">
        <f t="shared" si="7"/>
        <v>1111</v>
      </c>
    </row>
    <row r="201" spans="1:19" ht="30" customHeight="1" x14ac:dyDescent="0.2">
      <c r="A201" s="2">
        <v>201</v>
      </c>
      <c r="B201" s="331" t="str">
        <f t="shared" si="6"/>
        <v>Tornillos inclinados para resistencia al arranque y/o lateral</v>
      </c>
      <c r="D201" s="331" t="s">
        <v>395</v>
      </c>
      <c r="E201" s="331" t="s">
        <v>880</v>
      </c>
      <c r="F201" s="333" t="s">
        <v>1150</v>
      </c>
      <c r="G201" s="331" t="s">
        <v>881</v>
      </c>
      <c r="H201" s="331" t="s">
        <v>882</v>
      </c>
      <c r="I201" s="331" t="s">
        <v>883</v>
      </c>
      <c r="R201" s="331"/>
      <c r="S201">
        <f t="shared" si="7"/>
        <v>1111</v>
      </c>
    </row>
    <row r="202" spans="1:19" ht="30" customHeight="1" x14ac:dyDescent="0.2">
      <c r="A202" s="2">
        <v>202</v>
      </c>
      <c r="B202" s="331" t="str">
        <f t="shared" si="6"/>
        <v>Conector LOCK STOP</v>
      </c>
      <c r="D202" s="331" t="s">
        <v>509</v>
      </c>
      <c r="E202" s="331" t="s">
        <v>1088</v>
      </c>
      <c r="F202" s="333" t="s">
        <v>1089</v>
      </c>
      <c r="G202" s="331" t="s">
        <v>1090</v>
      </c>
      <c r="H202" s="331" t="s">
        <v>1091</v>
      </c>
      <c r="I202" s="331" t="s">
        <v>1091</v>
      </c>
      <c r="R202" s="331"/>
      <c r="S202">
        <f t="shared" si="7"/>
        <v>1111</v>
      </c>
    </row>
    <row r="203" spans="1:19" ht="408.95" customHeight="1" x14ac:dyDescent="0.2">
      <c r="A203" s="2">
        <v>203</v>
      </c>
      <c r="B203" s="331" t="str">
        <f t="shared" si="6"/>
        <v>Rotho Blaas ha efectuado las comprobaciones según el método de los estados límite de acuerdo con la norma EC 1995-1-1 Eurocódigo 5 - Diseño de estructuras de madera. Para los valores de resistencia mecánica y para la geometría de los conectores LOCK y LOCK STOP se han tomado como referencia las indicaciones de ETA-19/0831. Para los valores de resistencia mecánica y para la geometría de los tornillos se han tomado como referencia las indicaciones de ETA-11/0030.
Los valores estáticos se han calculado suponiendo un espesor constante del elemento de metal e incluyendo el espesor del LOCK STOP.
La resistencia Fup con tornillo inclinado se ha calculado considerando el número eficaz de tornillos cargados axialmente según ETA-11/ 0030.
Se debe prestar especial atención a la ejecución del fresado en el elemento principal o en la viga secundaria para limitar el deslizamiento lateral de la conexión.
La resistencia Flat con tornillo inclinado se ha calculado considerando el número eficaz de tornillos dispuestos paralelamente a la fibra según EN 1995-1-1.
Si se usan conectores en pares, se tiene que prestar una especial atención a su alineación durante la colocación para evitar que las solicitaciones sean diferentes en los dos conectores.
Se debe efectuar siempre una fijación total del conector, utilizando todos los agujeros.
No se admiten fijaciones con clavado parcial. Para cada mitad de conector, se deben utilizar tornillos de la misma longitud.
En el caso de fresado en el elemento principal o en la viga secundaria, se debe tener especial cuidado al realizar el fresado para limitar el deslizamiento lateral de la conexión.
El dimensionamiento y el control de los elementos de madera deben efectuarse por separado. Todos los cálculos deben ser verificados y aprobados por el diseñador responsable antes de su ejecución. Es deber del proyectista responsable comprobar en cada uso que los datos sean conformes con la normativa vigente y con el proyecto. La responsabilidad final de elegir el producto adecuado para una aplicación específica recae en el proyectista.</v>
      </c>
      <c r="D203" s="331" t="s">
        <v>1092</v>
      </c>
      <c r="E203" s="331" t="s">
        <v>1093</v>
      </c>
      <c r="F203" s="333" t="s">
        <v>1200</v>
      </c>
      <c r="G203" s="331" t="s">
        <v>1094</v>
      </c>
      <c r="H203" s="331" t="s">
        <v>1232</v>
      </c>
      <c r="I203" s="331" t="s">
        <v>1251</v>
      </c>
      <c r="R203" s="331"/>
      <c r="S203">
        <f t="shared" si="7"/>
        <v>1111</v>
      </c>
    </row>
    <row r="204" spans="1:19" ht="100.5" customHeight="1" x14ac:dyDescent="0.2">
      <c r="A204" s="2">
        <v>204</v>
      </c>
      <c r="B204" s="331" t="str">
        <f t="shared" si="6"/>
        <v>Estas indicaciones relativas a la hoja de verificación deben ser interpretadas como indicativas, entendiéndose que la responsabilidad completa del proyecto de conexión recae en el proyectista.</v>
      </c>
      <c r="D204" s="331" t="s">
        <v>521</v>
      </c>
      <c r="E204" s="331" t="s">
        <v>1095</v>
      </c>
      <c r="F204" s="333" t="s">
        <v>1096</v>
      </c>
      <c r="G204" s="331" t="s">
        <v>1262</v>
      </c>
      <c r="H204" s="331" t="s">
        <v>1097</v>
      </c>
      <c r="I204" s="331" t="s">
        <v>1098</v>
      </c>
      <c r="R204" s="331"/>
      <c r="S204">
        <f t="shared" si="7"/>
        <v>1111</v>
      </c>
    </row>
    <row r="205" spans="1:19" ht="67.5" customHeight="1" x14ac:dyDescent="0.2">
      <c r="A205" s="2">
        <v>205</v>
      </c>
      <c r="B205" s="331" t="str">
        <f t="shared" si="6"/>
        <v>El diseño de los elementos de madera debe realizarse por separado por parte del calculista.</v>
      </c>
      <c r="D205" s="331" t="s">
        <v>522</v>
      </c>
      <c r="E205" s="331" t="s">
        <v>1099</v>
      </c>
      <c r="F205" s="333" t="s">
        <v>1100</v>
      </c>
      <c r="G205" s="331" t="s">
        <v>1101</v>
      </c>
      <c r="H205" s="331" t="s">
        <v>1233</v>
      </c>
      <c r="I205" s="331" t="s">
        <v>1102</v>
      </c>
      <c r="R205" s="331"/>
      <c r="S205">
        <f t="shared" si="7"/>
        <v>1111</v>
      </c>
    </row>
    <row r="206" spans="1:19" ht="409.5" customHeight="1" x14ac:dyDescent="0.2">
      <c r="A206" s="2">
        <v>206</v>
      </c>
      <c r="B206" s="331" t="str">
        <f t="shared" si="6"/>
        <v>Como se especifica en las Condiciones Generales aceptadas por el usuario al descargar la hoja de cálculo: los resultados obtenidos con esta herramienta de cálculo son de carácter indicativo y deben ser considerados como un servicio técnico-comercial dentro de la actividad comercial de Rotho Blaas srl. El número y el espesor de las placas deben ser determinados por el proyectista responsable, que debe comprobar la exactitud de los resultados derivados del procesamiento de los datos introducidos. Rotho Blaas srl no garantiza el cumplimiento de la legislación vigente y el diseño de los cálculos realizados a través de esta hoja de cálculo. En particular, tras la modificación de las disposiciones pertinentes como, por ejemplo, normas, aprobaciones, etc. El programa puede resultar, en parte o en su totalidad, inválido. Rotho Blaas srl no garantiza y no será responsable de los daños o consecuencias directas o indirectas o de otro tipo, de cualquier manera (garantía por defectos, garantía por mal funcionamiento, responsabilidad legal o del producto, etc.). El usuario declara utilizar la hoja de cálculo como un profesional con la obligación y la responsabilidad de verificar que la hoja de cálculo satisface sus necesidades específicas.</v>
      </c>
      <c r="D206" s="331" t="s">
        <v>523</v>
      </c>
      <c r="E206" s="331" t="s">
        <v>1103</v>
      </c>
      <c r="F206" s="333" t="s">
        <v>1173</v>
      </c>
      <c r="G206" s="331" t="s">
        <v>1104</v>
      </c>
      <c r="H206" s="331" t="s">
        <v>1218</v>
      </c>
      <c r="I206" s="331" t="s">
        <v>1105</v>
      </c>
      <c r="R206" s="331"/>
      <c r="S206">
        <f t="shared" si="7"/>
        <v>1111</v>
      </c>
    </row>
    <row r="207" spans="1:19" ht="39.75" customHeight="1" x14ac:dyDescent="0.2">
      <c r="A207" s="2">
        <v>207</v>
      </c>
      <c r="B207" s="331" t="str">
        <f>HLOOKUP($B$1,$D$1:$I$207,A207,FALSE)</f>
        <v>¡¡ elemento demasiado pequeño para el conector seleccionado !!</v>
      </c>
      <c r="D207" s="331" t="s">
        <v>487</v>
      </c>
      <c r="E207" s="331" t="s">
        <v>1107</v>
      </c>
      <c r="F207" s="333" t="s">
        <v>1108</v>
      </c>
      <c r="G207" s="331" t="s">
        <v>1109</v>
      </c>
      <c r="H207" s="331" t="s">
        <v>1110</v>
      </c>
      <c r="I207" s="331" t="s">
        <v>1111</v>
      </c>
      <c r="R207" s="331"/>
      <c r="S207">
        <f t="shared" si="7"/>
        <v>1111</v>
      </c>
    </row>
    <row r="208" spans="1:19" ht="30" customHeight="1" x14ac:dyDescent="0.2">
      <c r="A208" s="2">
        <v>208</v>
      </c>
      <c r="B208" s="331" t="str">
        <f>HLOOKUP($B$1,$D$1:$I$209,A208,FALSE)</f>
        <v>VERIFICADO</v>
      </c>
      <c r="D208" s="331" t="s">
        <v>1112</v>
      </c>
      <c r="E208" s="331" t="s">
        <v>1115</v>
      </c>
      <c r="F208" s="333" t="s">
        <v>1115</v>
      </c>
      <c r="G208" s="331" t="s">
        <v>1263</v>
      </c>
      <c r="H208" s="331" t="s">
        <v>1114</v>
      </c>
      <c r="I208" s="331" t="s">
        <v>1114</v>
      </c>
      <c r="R208" s="335"/>
      <c r="S208">
        <f t="shared" si="7"/>
        <v>1111</v>
      </c>
    </row>
    <row r="209" spans="1:19" ht="30" customHeight="1" x14ac:dyDescent="0.2">
      <c r="A209" s="2">
        <v>209</v>
      </c>
      <c r="B209" s="331" t="str">
        <f>HLOOKUP($B$1,$D$1:$I$210,A209,FALSE)</f>
        <v>NO VERIFICADO</v>
      </c>
      <c r="D209" s="331" t="s">
        <v>1113</v>
      </c>
      <c r="E209" s="331" t="s">
        <v>1116</v>
      </c>
      <c r="F209" s="333" t="s">
        <v>1117</v>
      </c>
      <c r="G209" s="331" t="s">
        <v>1118</v>
      </c>
      <c r="H209" s="331" t="s">
        <v>1119</v>
      </c>
      <c r="I209" s="331" t="s">
        <v>1120</v>
      </c>
      <c r="R209" s="331"/>
      <c r="S209">
        <f t="shared" si="7"/>
        <v>1111</v>
      </c>
    </row>
    <row r="210" spans="1:19" ht="30" customHeight="1" x14ac:dyDescent="0.2">
      <c r="A210" s="2">
        <v>210</v>
      </c>
      <c r="B210" s="331" t="str">
        <f>HLOOKUP($B$1,$D$1:$I$210,A210,FALSE)</f>
        <v>Fresado para carcasa de conector Sf=20 mm</v>
      </c>
      <c r="D210" s="331" t="s">
        <v>1332</v>
      </c>
      <c r="E210" s="331" t="s">
        <v>1333</v>
      </c>
      <c r="F210" s="333" t="s">
        <v>1334</v>
      </c>
      <c r="G210" s="331" t="s">
        <v>1335</v>
      </c>
      <c r="H210" s="331" t="s">
        <v>1336</v>
      </c>
      <c r="I210" s="331" t="s">
        <v>1337</v>
      </c>
      <c r="S210">
        <f t="shared" si="7"/>
        <v>1111</v>
      </c>
    </row>
  </sheetData>
  <sheetProtection algorithmName="SHA-512" hashValue="a0L0ZwU/VXhHKdeE+UDfDVecD13sNF9vq4NvLBa5zXSmvZETcnOwqvcDw8+AP+K8uHZ9X1Insa74TEL0rWweow==" saltValue="RcTUYNFuKrba+i4FGp5O5g==" spinCount="100000" sheet="1" objects="1" scenarios="1" selectLockedCells="1"/>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5DBE-D5F7-4681-A60D-6A1CF341A4AD}">
  <sheetPr codeName="Foglio5">
    <tabColor rgb="FFF9ADAD"/>
  </sheetPr>
  <dimension ref="B2:BC16"/>
  <sheetViews>
    <sheetView showGridLines="0" topLeftCell="B1"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106</v>
      </c>
      <c r="AA5" s="53" t="s">
        <v>107</v>
      </c>
      <c r="AB5" s="53" t="s">
        <v>108</v>
      </c>
      <c r="AC5" s="53" t="s">
        <v>109</v>
      </c>
      <c r="AD5" s="28" t="s">
        <v>95</v>
      </c>
      <c r="AE5" s="28" t="s">
        <v>96</v>
      </c>
      <c r="AF5" s="28" t="s">
        <v>97</v>
      </c>
      <c r="AG5" s="28" t="s">
        <v>123</v>
      </c>
      <c r="AH5" s="28" t="s">
        <v>98</v>
      </c>
      <c r="AI5" s="28" t="s">
        <v>99</v>
      </c>
      <c r="AJ5" s="28"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118</v>
      </c>
      <c r="BB5" s="51" t="s">
        <v>120</v>
      </c>
      <c r="BC5" s="54" t="s">
        <v>121</v>
      </c>
    </row>
    <row r="6" spans="2:55"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5">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IF(L11&lt;&gt;0,L11,90)</f>
        <v>90</v>
      </c>
      <c r="R6" s="179">
        <f>IF(H6="LVL",J13,IF(H6="CLT",I15,IF(P6&gt;420,J11,I11)))</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6250.4848325591374</v>
      </c>
      <c r="Z6" s="46">
        <f>0.4*R6*(L6-G6)*K6+MIN(0.4*R6*(L6-G6)*K6,IF(H6="CLT",1,IF(Q6&lt;&gt;90,1,5/6))*MIN(O6,Y6)/4)</f>
        <v>2685.8368882999985</v>
      </c>
      <c r="AA6" s="46">
        <f>1.15*SQRT(2*N6*R6*K6)+MIN(1.15*SQRT(2*N6*R6*K6),IF(H6="CLT",1,IF(Q6&lt;&gt;90,1,5/6))*MIN(O6,Y6)/4)</f>
        <v>2635.0339533471933</v>
      </c>
      <c r="AB6" s="46">
        <f>MIN(Z6,AA6)</f>
        <v>2635.0339533471933</v>
      </c>
      <c r="AC6" s="46">
        <f>J6*AB6</f>
        <v>15810.20372008316</v>
      </c>
      <c r="AD6" s="42" t="str">
        <f>'LOCK-T'!H71</f>
        <v>GL24h</v>
      </c>
      <c r="AE6" s="42" t="str">
        <f>'LOCK-T'!I111</f>
        <v>LBS Ø 7 x 80</v>
      </c>
      <c r="AF6" s="43">
        <f>VLOOKUP(VLOOKUP(B6,Data!$AA$4:$AD$24,4,FALSE),Data!$I$4:$S$15,5,FALSE)*E6</f>
        <v>6</v>
      </c>
      <c r="AG6" s="42">
        <v>0</v>
      </c>
      <c r="AH6" s="43">
        <f>VLOOKUP(AE6,Screws!$C$6:$J$34,3,FALSE)</f>
        <v>7</v>
      </c>
      <c r="AI6" s="43">
        <f>VLOOKUP(AE6,Screws!$C$6:$J$34,5,FALSE)</f>
        <v>80</v>
      </c>
      <c r="AJ6" s="43">
        <f>VLOOKUP(AE6,Screws!$C$6:$J$34,6,FALSE)</f>
        <v>75</v>
      </c>
      <c r="AK6" s="43">
        <f>VLOOKUP(AE6,Screws!$C$6:$J$34,7,FALSE)</f>
        <v>14174</v>
      </c>
      <c r="AL6" s="43">
        <f>VLOOKUP(AE6,Screws!$C$6:$J$34,8,FALSE)</f>
        <v>19200</v>
      </c>
      <c r="AM6" s="43">
        <f>VLOOKUP(AD6,Data!$B$4:$C$36,2,FALSE)</f>
        <v>385</v>
      </c>
      <c r="AN6" s="43">
        <v>90</v>
      </c>
      <c r="AO6" s="179">
        <f>IF('LOCK-T'!H72='LOCK-T'!AA54,IF(AD6="LVL",AF13,IF(AM6&gt;420,AF11,AF11)),IF(AD6="LVL",AF13,IF(AD6="CLT",AE15,IF(AM6&gt;420,AF11,AE11))))</f>
        <v>17.609424784823478</v>
      </c>
      <c r="AP6" s="44">
        <f>IF(AD6="LVL",0.5,0.3)</f>
        <v>0.3</v>
      </c>
      <c r="AQ6" s="44">
        <f>IF(AD6="LVL",0.5,0.7)</f>
        <v>0.7</v>
      </c>
      <c r="AR6" s="45">
        <f>IF(AN6&lt;45,AP6+AQ6*AN6/45,1)</f>
        <v>1</v>
      </c>
      <c r="AS6" s="43">
        <f>IF(AD6="LVL",1.5*COS(RADIANS(AG6))^2+SIN(RADIANS(AG6))^2,1)</f>
        <v>1</v>
      </c>
      <c r="AT6" s="43">
        <f>IF(AD6="LVL",15,11.7)</f>
        <v>11.7</v>
      </c>
      <c r="AU6" s="46">
        <f>AR6*AT6*AH6*MIN(AJ6,AI6-G6)*(AM6/(IF(AD6="LVL",500,350)))^0.8/AS6</f>
        <v>6452.3944654384795</v>
      </c>
      <c r="AV6" s="46">
        <f>0.4*AO6*(AI6-G6)*AH6+MIN(AU6,AL6)/4</f>
        <v>5212.4650423775392</v>
      </c>
      <c r="AW6" s="46">
        <f>1.15*SQRT(2*AK6*AO6*AH6)+MIN(1.15*SQRT(2*AK6*AO6*AH6),MIN(AL6,AU6)/4)</f>
        <v>3762.81248044831</v>
      </c>
      <c r="AX6" s="46">
        <f>MIN(AV6,AW6)</f>
        <v>3762.81248044831</v>
      </c>
      <c r="AY6" s="46">
        <f>AF6*AX6</f>
        <v>22576.874882689859</v>
      </c>
      <c r="AZ6" s="44">
        <f>VLOOKUP(VLOOKUP(B6,Data!$AA$4:$AD$24,4,FALSE),Data!$I$4:$S$15,8,FALSE)*E6</f>
        <v>10.6</v>
      </c>
      <c r="BA6" s="46">
        <f>1/SQRT((1/AY6)^2+(1/(AZ6*AU6))^2)</f>
        <v>21439.050200614751</v>
      </c>
      <c r="BB6" s="46">
        <f>VLOOKUP(VLOOKUP(B6,Data!$AA$4:$AD$24,4,FALSE),Data!$I$4:$S$15,9,FALSE)*1000*E6</f>
        <v>30000</v>
      </c>
      <c r="BC6" s="47">
        <f>MIN(AC6,BA6,BB6)/1000</f>
        <v>15.810203720083161</v>
      </c>
    </row>
    <row r="7" spans="2:55" ht="14.25" x14ac:dyDescent="0.2">
      <c r="R7" s="144"/>
    </row>
    <row r="9" spans="2:55" x14ac:dyDescent="0.2">
      <c r="H9" s="441" t="s">
        <v>250</v>
      </c>
      <c r="I9" s="441"/>
      <c r="J9" s="441"/>
      <c r="K9" s="441"/>
      <c r="AD9" s="441" t="s">
        <v>250</v>
      </c>
      <c r="AE9" s="441"/>
      <c r="AF9" s="441"/>
      <c r="AG9" s="441"/>
    </row>
    <row r="10" spans="2:55" ht="29.25" thickBot="1" x14ac:dyDescent="0.25">
      <c r="I10" t="s">
        <v>249</v>
      </c>
      <c r="J10" t="s">
        <v>248</v>
      </c>
      <c r="L10" s="53" t="s">
        <v>110</v>
      </c>
      <c r="AE10" t="s">
        <v>249</v>
      </c>
      <c r="AF10" t="s">
        <v>248</v>
      </c>
      <c r="AH10" s="53" t="s">
        <v>110</v>
      </c>
    </row>
    <row r="11" spans="2:55" ht="14.25" x14ac:dyDescent="0.2">
      <c r="H11" t="s">
        <v>247</v>
      </c>
      <c r="I11">
        <f>0.082*$P$6*$K$6^(-0.3)/((2.5*COS(RADIANS($L$11))^2+SIN(RADIANS($L$11))^2))</f>
        <v>6.7693373198801936</v>
      </c>
      <c r="J11">
        <f>0.082*$P$6*(1-0.01*$K$6)/((2.5*COS(RADIANS($L$11))^2+SIN(RADIANS($L$11))^2))</f>
        <v>11.286479999999999</v>
      </c>
      <c r="L11" s="43">
        <f>ABS('LOCK-T'!H86)</f>
        <v>0</v>
      </c>
      <c r="AD11" t="s">
        <v>247</v>
      </c>
      <c r="AE11">
        <f>0.082*AM6*AH6^(-0.3)/((2.5*COS(RADIANS(AH11))^2+SIN(RADIANS(AH11))^2))</f>
        <v>17.609424784823478</v>
      </c>
      <c r="AF11">
        <f>0.082*AM6*(1-0.01*AH6)/((2.5*COS(RADIANS(AH11))^2+SIN(RADIANS(AH11))^2))</f>
        <v>29.360099999999999</v>
      </c>
      <c r="AH11" s="43">
        <v>90</v>
      </c>
    </row>
    <row r="13" spans="2:55" x14ac:dyDescent="0.2">
      <c r="H13" t="s">
        <v>2</v>
      </c>
      <c r="I13">
        <f>0.082*$P$6*$K$6^(-0.3)/((2.5*COS(RADIANS($L$11))^2+SIN(RADIANS($L$11))^2)*(1.5*COS(RADIANS($V$6))^2+SIN(RADIANS($V$6))^2))</f>
        <v>4.512891546586796</v>
      </c>
      <c r="J13">
        <f>0.082*$P$6*(1-0.01*$K$6)/((2.5*COS(RADIANS($L$11))^2+SIN(RADIANS($L$11))^2)*(1.5*COS(RADIANS($V$6))^2+SIN(RADIANS($V$6))^2))</f>
        <v>7.5243199999999995</v>
      </c>
      <c r="O13" s="160"/>
      <c r="AD13" t="s">
        <v>2</v>
      </c>
      <c r="AE13">
        <f>0.082*AM6*AH6^(-0.3)/((2.5*COS(RADIANS(AH11))^2+SIN(RADIANS(AH11))^2)*(1.5*COS(RADIANS(AG6))^2+SIN(RADIANS(AG6))^2))</f>
        <v>11.739616523215652</v>
      </c>
      <c r="AF13">
        <f>0.082*AM6*(1-0.01*AH6)/((2.5*COS(RADIANS(AH11))^2+SIN(RADIANS(AH11))^2)*(1.5*COS(RADIANS(AG6))^2+SIN(RADIANS(AG6))^2))</f>
        <v>19.573399999999999</v>
      </c>
    </row>
    <row r="15" spans="2:55" x14ac:dyDescent="0.2">
      <c r="H15" t="s">
        <v>6</v>
      </c>
      <c r="I15">
        <f>IF(L11=0,20*K6^(-0.5),0.082*$P$6*$K$6^(-0.3)/((2.5*COS(RADIANS($L$11))^2+SIN(RADIANS($L$11))^2)))</f>
        <v>7.5592894601845444</v>
      </c>
      <c r="AD15" t="s">
        <v>6</v>
      </c>
      <c r="AE15" s="180">
        <f>IF(AH11=0,20*AH6^(-0.5),0.082*AM6*AH6^(-0.3)/((2.5*COS(RADIANS(AH11))^2+SIN(RADIANS(AH11))^2)))</f>
        <v>17.609424784823478</v>
      </c>
    </row>
    <row r="16" spans="2:55" x14ac:dyDescent="0.2">
      <c r="AE16" s="180" t="s">
        <v>251</v>
      </c>
      <c r="AF16" s="180"/>
    </row>
  </sheetData>
  <sheetProtection algorithmName="SHA-512" hashValue="cvY9Tyoo6bbMk+Df+Uehq7b3M/NW/9ptFGPgXwfOUANyPleIhj/nk97WCKXC6/N/mH5pH41mvrSaLFjhfOXH9g==" saltValue="Ja1CHbgcfPcYGeVcCK7ylg==" spinCount="100000" sheet="1" objects="1" scenarios="1" selectLockedCells="1"/>
  <mergeCells count="6">
    <mergeCell ref="B2:E2"/>
    <mergeCell ref="B4:G4"/>
    <mergeCell ref="H4:AC4"/>
    <mergeCell ref="AD4:BA4"/>
    <mergeCell ref="H9:K9"/>
    <mergeCell ref="AD9:AG9"/>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7D67D491-78BB-43A9-92DA-FF6D266F1A31}">
          <x14:formula1>
            <xm:f>Data!$W$3:$W$12</xm:f>
          </x14:formula1>
          <xm:sqref>E6</xm:sqref>
        </x14:dataValidation>
        <x14:dataValidation type="list" allowBlank="1" showInputMessage="1" showErrorMessage="1" xr:uid="{38E7444E-908F-4B7A-AEE9-CBE0899D08E1}">
          <x14:formula1>
            <xm:f>Screws!$C$6:$C$29</xm:f>
          </x14:formula1>
          <xm:sqref>I6 AE6</xm:sqref>
        </x14:dataValidation>
        <x14:dataValidation type="list" allowBlank="1" showInputMessage="1" showErrorMessage="1" xr:uid="{6CD352EC-929A-4642-ABEB-B97391980E61}">
          <x14:formula1>
            <xm:f>Data!$B$4:$B$34</xm:f>
          </x14:formula1>
          <xm:sqref>H6 AD6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FE52D-65F8-46F1-B5B4-005AD92D54FA}">
  <sheetPr codeName="Foglio6">
    <tabColor rgb="FF00B050"/>
  </sheetPr>
  <dimension ref="B2:BC16"/>
  <sheetViews>
    <sheetView showGridLines="0" topLeftCell="B1"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106</v>
      </c>
      <c r="AA5" s="53" t="s">
        <v>107</v>
      </c>
      <c r="AB5" s="53" t="s">
        <v>108</v>
      </c>
      <c r="AC5" s="53" t="s">
        <v>109</v>
      </c>
      <c r="AD5" s="28" t="s">
        <v>95</v>
      </c>
      <c r="AE5" s="28" t="s">
        <v>96</v>
      </c>
      <c r="AF5" s="28" t="s">
        <v>97</v>
      </c>
      <c r="AG5" s="28" t="s">
        <v>123</v>
      </c>
      <c r="AH5" s="28" t="s">
        <v>98</v>
      </c>
      <c r="AI5" s="28" t="s">
        <v>99</v>
      </c>
      <c r="AJ5" s="28"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118</v>
      </c>
      <c r="BB5" s="51" t="s">
        <v>120</v>
      </c>
      <c r="BC5" s="54" t="s">
        <v>121</v>
      </c>
    </row>
    <row r="6" spans="2:55"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5">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269">
        <f>IF(L11&lt;&gt;0,L11,90)</f>
        <v>90</v>
      </c>
      <c r="R6" s="179">
        <f>IF(H6="LVL",J13,IF(H6="CLT",I15,IF(P6&gt;420,J11,I11)))</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6164.8617526610669</v>
      </c>
      <c r="Z6" s="46">
        <f>0.4*R6*(L6-G6)*K6+MIN(0.4*R6*(L6-G6)*K6,IF(H6="CLT",1,IF(Q6&lt;&gt;90,1,5/6))*MIN(O6,Y6)/4)</f>
        <v>2649.0446021589028</v>
      </c>
      <c r="AA6" s="46">
        <f>1.15*SQRT(2*N6*R6*K6)+MIN(1.15*SQRT(2*N6*R6*K6),IF(H6="CLT",1,IF(Q6&lt;&gt;90,1,5/6))*MIN(O6,Y6)/4)</f>
        <v>2617.1958117017621</v>
      </c>
      <c r="AB6" s="46">
        <f>MIN(Z6,AA6)</f>
        <v>2617.1958117017621</v>
      </c>
      <c r="AC6" s="46">
        <f>J6*AB6</f>
        <v>94219.049221263442</v>
      </c>
      <c r="AD6" s="42" t="str">
        <f>'LOCK-T'!H71</f>
        <v>GL24h</v>
      </c>
      <c r="AE6" s="42" t="str">
        <f>'LOCK-T'!H111</f>
        <v>LBS Ø 7 x 80</v>
      </c>
      <c r="AF6" s="43">
        <f>VLOOKUP(VLOOKUP(B6,Data!$AA$4:$AD$24,4,FALSE),Data!$I$4:$S$15,5,FALSE)*E6</f>
        <v>36</v>
      </c>
      <c r="AG6" s="42">
        <v>0</v>
      </c>
      <c r="AH6" s="43">
        <f>VLOOKUP(AE6,Screws!$C$6:$J$34,3,FALSE)</f>
        <v>7</v>
      </c>
      <c r="AI6" s="43">
        <f>VLOOKUP(AE6,Screws!$C$6:$J$34,5,FALSE)</f>
        <v>80</v>
      </c>
      <c r="AJ6" s="43">
        <f>VLOOKUP(AE6,Screws!$C$6:$J$34,6,FALSE)</f>
        <v>75</v>
      </c>
      <c r="AK6" s="43">
        <f>VLOOKUP(AE6,Screws!$C$6:$J$34,7,FALSE)</f>
        <v>14174</v>
      </c>
      <c r="AL6" s="43">
        <f>VLOOKUP(AE6,Screws!$C$6:$J$34,8,FALSE)</f>
        <v>19200</v>
      </c>
      <c r="AM6" s="43">
        <f>VLOOKUP(AD6,Data!$B$4:$C$36,2,FALSE)</f>
        <v>385</v>
      </c>
      <c r="AN6" s="43">
        <v>90</v>
      </c>
      <c r="AO6" s="179">
        <f>IF('LOCK-T'!H72='LOCK-T'!AA54,IF(AD6="LVL",AF13,IF(AM6&gt;420,AF11,AF11)),IF(AD6="LVL",AF13,IF(AD6="CLT",AE15,IF(AM6&gt;420,AF11,AE11))))</f>
        <v>17.609424784823478</v>
      </c>
      <c r="AP6" s="44">
        <f>IF(AD6="LVL",0.5,0.3)</f>
        <v>0.3</v>
      </c>
      <c r="AQ6" s="44">
        <f>IF(AD6="LVL",0.5,0.7)</f>
        <v>0.7</v>
      </c>
      <c r="AR6" s="45">
        <f>IF(AN6&lt;45,AP6+AQ6*AN6/45,1)</f>
        <v>1</v>
      </c>
      <c r="AS6" s="43">
        <f>IF(AD6="LVL",1.5*COS(RADIANS(AG6))^2+SIN(RADIANS(AG6))^2,1)</f>
        <v>1</v>
      </c>
      <c r="AT6" s="43">
        <f>IF(AD6="LVL",15,11.7)</f>
        <v>11.7</v>
      </c>
      <c r="AU6" s="46">
        <f>AR6*AT6*AH6*MIN(AJ6,AI6-G6)*(AM6/(IF(AD6="LVL",500,350)))^0.8/AS6</f>
        <v>6364.0055001584997</v>
      </c>
      <c r="AV6" s="46">
        <f>0.4*AO6*(AI6-G6)*AH6+MIN(AU6,AL6)/4</f>
        <v>5141.0614116600382</v>
      </c>
      <c r="AW6" s="46">
        <f>1.15*SQRT(2*AK6*AO6*AH6)+MIN(1.15*SQRT(2*AK6*AO6*AH6),MIN(AL6,AU6)/4)</f>
        <v>3740.7152391283153</v>
      </c>
      <c r="AX6" s="46">
        <f>MIN(AV6,AW6)</f>
        <v>3740.7152391283153</v>
      </c>
      <c r="AY6" s="46">
        <f>AF6*AX6</f>
        <v>134665.74860861935</v>
      </c>
      <c r="AZ6" s="44">
        <f>VLOOKUP(VLOOKUP(B6,Data!$AA$4:$AD$24,4,FALSE),Data!$I$4:$S$15,8,FALSE)*E6</f>
        <v>144</v>
      </c>
      <c r="BA6" s="46">
        <f>1/SQRT((1/AY6)^2+(1/(AZ6*AU6))^2)</f>
        <v>133234.91046445054</v>
      </c>
      <c r="BB6" s="46">
        <f>VLOOKUP(VLOOKUP(B6,Data!$AA$4:$AD$24,4,FALSE),Data!$I$4:$S$15,9,FALSE)*1000*E6</f>
        <v>96000</v>
      </c>
      <c r="BC6" s="47">
        <f>MIN(AC6,BA6,BB6)/1000</f>
        <v>94.219049221263447</v>
      </c>
    </row>
    <row r="7" spans="2:55" ht="14.25" x14ac:dyDescent="0.2">
      <c r="R7" s="144"/>
    </row>
    <row r="8" spans="2:55" x14ac:dyDescent="0.2">
      <c r="Y8" t="e" cm="1">
        <f t="array" ref="Y8">kax*faxk*d*lef*(rok/(IF(H6="LVL",500,350)))^(0.8)/kb</f>
        <v>#NAME?</v>
      </c>
    </row>
    <row r="9" spans="2:55" x14ac:dyDescent="0.2">
      <c r="H9" s="441" t="s">
        <v>250</v>
      </c>
      <c r="I9" s="441"/>
      <c r="J9" s="441"/>
      <c r="K9" s="441"/>
      <c r="AD9" s="441" t="s">
        <v>250</v>
      </c>
      <c r="AE9" s="441"/>
      <c r="AF9" s="441"/>
      <c r="AG9" s="441"/>
    </row>
    <row r="10" spans="2:55" ht="29.25" thickBot="1" x14ac:dyDescent="0.25">
      <c r="I10" t="s">
        <v>249</v>
      </c>
      <c r="J10" t="s">
        <v>248</v>
      </c>
      <c r="L10" s="53" t="s">
        <v>110</v>
      </c>
      <c r="AE10" t="s">
        <v>249</v>
      </c>
      <c r="AF10" t="s">
        <v>248</v>
      </c>
      <c r="AH10" s="53" t="s">
        <v>110</v>
      </c>
    </row>
    <row r="11" spans="2:55" ht="14.25" x14ac:dyDescent="0.2">
      <c r="H11" t="s">
        <v>247</v>
      </c>
      <c r="I11">
        <f>0.082*$P$6*$K$6^(-0.3)/((2.5*COS(RADIANS($L$11))^2+SIN(RADIANS($L$11))^2))</f>
        <v>6.7693373198801936</v>
      </c>
      <c r="J11">
        <f>0.082*$P$6*(1-0.01*$K$6)/((2.5*COS(RADIANS($L$11))^2+SIN(RADIANS($L$11))^2))</f>
        <v>11.286479999999999</v>
      </c>
      <c r="L11" s="43">
        <f>ABS('LOCK-T'!H86)</f>
        <v>0</v>
      </c>
      <c r="AD11" t="s">
        <v>247</v>
      </c>
      <c r="AE11">
        <f>0.082*AM6*AH6^(-0.3)/((2.5*COS(RADIANS(AH11))^2+SIN(RADIANS(AH11))^2))</f>
        <v>17.609424784823478</v>
      </c>
      <c r="AF11">
        <f>0.082*AM6*(1-0.01*AH6)/((2.5*COS(RADIANS(AH11))^2+SIN(RADIANS(AH11))^2))</f>
        <v>29.360099999999999</v>
      </c>
      <c r="AH11" s="43">
        <v>90</v>
      </c>
    </row>
    <row r="13" spans="2:55" x14ac:dyDescent="0.2">
      <c r="H13" t="s">
        <v>2</v>
      </c>
      <c r="I13">
        <f>0.082*$P$6*$K$6^(-0.3)/((2.5*COS(RADIANS($L$11))^2+SIN(RADIANS($L$11))^2)*(1.5*COS(RADIANS($V$6))^2+SIN(RADIANS($V$6))^2))</f>
        <v>4.512891546586796</v>
      </c>
      <c r="J13">
        <f>0.082*$P$6*(1-0.01*$K$6)/((2.5*COS(RADIANS($L$11))^2+SIN(RADIANS($L$11))^2)*(1.5*COS(RADIANS($V$6))^2+SIN(RADIANS($V$6))^2))</f>
        <v>7.5243199999999995</v>
      </c>
      <c r="O13" s="160"/>
      <c r="AD13" t="s">
        <v>2</v>
      </c>
      <c r="AE13">
        <f>0.082*AM6*AH6^(-0.3)/((2.5*COS(RADIANS(AH11))^2+SIN(RADIANS(AH11))^2)*(1.5*COS(RADIANS(AG6))^2+SIN(RADIANS(AG6))^2))</f>
        <v>11.739616523215652</v>
      </c>
      <c r="AF13">
        <f>0.082*AM6*(1-0.01*AH6)/((2.5*COS(RADIANS(AH11))^2+SIN(RADIANS(AH11))^2)*(1.5*COS(RADIANS(AG6))^2+SIN(RADIANS(AG6))^2))</f>
        <v>19.573399999999999</v>
      </c>
    </row>
    <row r="15" spans="2:55" x14ac:dyDescent="0.2">
      <c r="H15" t="s">
        <v>6</v>
      </c>
      <c r="I15">
        <f>IF(L11=0,20*K6^(-0.5),0.082*$P$6*$K$6^(-0.3)/((2.5*COS(RADIANS($L$11))^2+SIN(RADIANS($L$11))^2)))</f>
        <v>7.5592894601845444</v>
      </c>
      <c r="AD15" t="s">
        <v>6</v>
      </c>
      <c r="AE15" s="180">
        <f>IF(AH11=0,20*AH6^(-0.5),0.082*AM6*AH6^(-0.3)/((2.5*COS(RADIANS(AH11))^2+SIN(RADIANS(AH11))^2)))</f>
        <v>17.609424784823478</v>
      </c>
    </row>
    <row r="16" spans="2:55" x14ac:dyDescent="0.2">
      <c r="AE16" s="180" t="s">
        <v>475</v>
      </c>
      <c r="AF16" s="180"/>
    </row>
  </sheetData>
  <sheetProtection algorithmName="SHA-512" hashValue="RVbLbFITJtJ7UlTjG0c7buPR9QBuQ8IsobkuDjKdodfNXWhkgSKTeW/L5MOdI1HUABvNLqzARbCMD9Lnhieuow==" saltValue="wkiWRf9v9ZtyK8ZanLerrw==" spinCount="100000" sheet="1" objects="1" scenarios="1" selectLockedCells="1"/>
  <mergeCells count="6">
    <mergeCell ref="B2:E2"/>
    <mergeCell ref="B4:G4"/>
    <mergeCell ref="H4:AC4"/>
    <mergeCell ref="AD4:BA4"/>
    <mergeCell ref="H9:K9"/>
    <mergeCell ref="AD9:AG9"/>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1307F58B-E99E-4581-8674-7DED1C441E92}">
          <x14:formula1>
            <xm:f>Data!$B$4:$B$34</xm:f>
          </x14:formula1>
          <xm:sqref>H6 AD6</xm:sqref>
        </x14:dataValidation>
        <x14:dataValidation type="list" allowBlank="1" showInputMessage="1" showErrorMessage="1" xr:uid="{162B00E7-4DF8-403B-9BA5-0B73893DD04F}">
          <x14:formula1>
            <xm:f>Screws!$C$6:$C$29</xm:f>
          </x14:formula1>
          <xm:sqref>I6 AE6</xm:sqref>
        </x14:dataValidation>
        <x14:dataValidation type="list" allowBlank="1" showInputMessage="1" showErrorMessage="1" xr:uid="{737D0F86-C049-412C-9840-8C8CD0C3C5FD}">
          <x14:formula1>
            <xm:f>Data!$W$3:$W$12</xm:f>
          </x14:formula1>
          <xm:sqref>E6</xm:sqref>
        </x14:dataValidation>
        <x14:dataValidation type="list" allowBlank="1" showInputMessage="1" showErrorMessage="1" xr:uid="{1E54949E-FD50-42DE-82F1-35BB5F2B9C22}">
          <x14:formula1>
            <xm:f>Data!$I$4:$I$12</xm:f>
          </x14:formula1>
          <xm:sqref>B6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2617-7CCA-468D-BD88-99DC3BB4C2EE}">
  <sheetPr codeName="Foglio7">
    <tabColor rgb="FF00B050"/>
  </sheetPr>
  <dimension ref="C2:BP118"/>
  <sheetViews>
    <sheetView showGridLines="0" topLeftCell="AC1" zoomScale="85" zoomScaleNormal="85" workbookViewId="0">
      <selection activeCell="J52" sqref="J52"/>
    </sheetView>
  </sheetViews>
  <sheetFormatPr defaultRowHeight="12.75" outlineLevelCol="1" x14ac:dyDescent="0.2"/>
  <cols>
    <col min="1" max="2" width="7" customWidth="1"/>
    <col min="3" max="3" width="22" bestFit="1" customWidth="1"/>
    <col min="4" max="6" width="10.625" customWidth="1"/>
    <col min="7" max="7" width="12.625" customWidth="1"/>
    <col min="8" max="9" width="10.625" customWidth="1"/>
    <col min="10" max="10" width="28.25" bestFit="1" customWidth="1"/>
    <col min="11" max="11" width="11.625" customWidth="1"/>
    <col min="12" max="28" width="10.625" customWidth="1" outlineLevel="1"/>
    <col min="29" max="31" width="10.625" customWidth="1"/>
    <col min="32" max="32" width="15.375" bestFit="1" customWidth="1"/>
    <col min="33" max="33" width="10.625" customWidth="1"/>
    <col min="34" max="34" width="28.25" bestFit="1" customWidth="1"/>
    <col min="35" max="35" width="11.75" customWidth="1"/>
    <col min="36" max="36" width="10.625" customWidth="1"/>
    <col min="37" max="41" width="10.625" customWidth="1" outlineLevel="1"/>
    <col min="42" max="43" width="10.625" customWidth="1"/>
    <col min="44" max="59" width="15.625" customWidth="1"/>
    <col min="60" max="61" width="15.125" bestFit="1" customWidth="1"/>
    <col min="63" max="63" width="11.875" bestFit="1" customWidth="1"/>
    <col min="64" max="64" width="9" customWidth="1"/>
    <col min="65" max="65" width="24.375" bestFit="1" customWidth="1"/>
    <col min="66" max="66" width="22" bestFit="1" customWidth="1"/>
  </cols>
  <sheetData>
    <row r="2" spans="3:68" ht="30.75" customHeight="1" x14ac:dyDescent="0.2">
      <c r="C2" s="436" t="s">
        <v>122</v>
      </c>
      <c r="D2" s="436"/>
      <c r="E2" s="436"/>
      <c r="F2" s="436"/>
      <c r="G2" s="88"/>
      <c r="H2" s="88"/>
      <c r="I2" s="88"/>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row>
    <row r="3" spans="3:68" ht="13.5" thickBot="1" x14ac:dyDescent="0.25"/>
    <row r="4" spans="3:68" ht="48" customHeight="1" x14ac:dyDescent="0.2">
      <c r="C4" s="437" t="s">
        <v>86</v>
      </c>
      <c r="D4" s="438"/>
      <c r="E4" s="438"/>
      <c r="F4" s="438"/>
      <c r="G4" s="438"/>
      <c r="H4" s="438"/>
      <c r="I4" s="439" t="s">
        <v>87</v>
      </c>
      <c r="J4" s="439"/>
      <c r="K4" s="439"/>
      <c r="L4" s="439"/>
      <c r="M4" s="439"/>
      <c r="N4" s="439"/>
      <c r="O4" s="439"/>
      <c r="P4" s="439"/>
      <c r="Q4" s="439"/>
      <c r="R4" s="439"/>
      <c r="S4" s="439"/>
      <c r="T4" s="439"/>
      <c r="U4" s="439"/>
      <c r="V4" s="439"/>
      <c r="W4" s="439"/>
      <c r="X4" s="439"/>
      <c r="Y4" s="439"/>
      <c r="Z4" s="439"/>
      <c r="AA4" s="439"/>
      <c r="AB4" s="439"/>
      <c r="AC4" s="439"/>
      <c r="AD4" s="439"/>
      <c r="AE4" s="439"/>
      <c r="AF4" s="439"/>
      <c r="AG4" s="440" t="s">
        <v>88</v>
      </c>
      <c r="AH4" s="440"/>
      <c r="AI4" s="440"/>
      <c r="AJ4" s="440"/>
      <c r="AK4" s="440"/>
      <c r="AL4" s="440"/>
      <c r="AM4" s="440"/>
      <c r="AN4" s="440"/>
      <c r="AO4" s="440"/>
      <c r="AP4" s="440"/>
      <c r="AQ4" s="440"/>
      <c r="AR4" s="440"/>
      <c r="AS4" s="48"/>
      <c r="AT4" s="124"/>
      <c r="AU4" s="49" t="s">
        <v>183</v>
      </c>
      <c r="AV4" s="49" t="s">
        <v>182</v>
      </c>
      <c r="AW4" s="135"/>
      <c r="AX4" s="135"/>
      <c r="BE4" s="142"/>
      <c r="BF4" s="142"/>
      <c r="BG4" s="142"/>
      <c r="BH4" s="142"/>
      <c r="BI4" s="142"/>
    </row>
    <row r="5" spans="3:68" ht="51" customHeight="1" thickBot="1" x14ac:dyDescent="0.25">
      <c r="C5" s="50" t="s">
        <v>90</v>
      </c>
      <c r="D5" s="51" t="s">
        <v>91</v>
      </c>
      <c r="E5" s="52" t="s">
        <v>92</v>
      </c>
      <c r="F5" s="51" t="s">
        <v>51</v>
      </c>
      <c r="G5" s="51" t="s">
        <v>93</v>
      </c>
      <c r="H5" s="51" t="s">
        <v>94</v>
      </c>
      <c r="I5" s="53" t="s">
        <v>95</v>
      </c>
      <c r="J5" s="53" t="s">
        <v>96</v>
      </c>
      <c r="K5" s="53" t="s">
        <v>97</v>
      </c>
      <c r="L5" s="53" t="s">
        <v>98</v>
      </c>
      <c r="M5" s="53" t="s">
        <v>99</v>
      </c>
      <c r="N5" s="53" t="s">
        <v>100</v>
      </c>
      <c r="O5" s="53" t="s">
        <v>101</v>
      </c>
      <c r="P5" s="53" t="s">
        <v>102</v>
      </c>
      <c r="Q5" s="53" t="s">
        <v>103</v>
      </c>
      <c r="R5" s="53" t="s">
        <v>110</v>
      </c>
      <c r="S5" s="53" t="s">
        <v>104</v>
      </c>
      <c r="T5" s="53" t="s">
        <v>111</v>
      </c>
      <c r="U5" s="53" t="s">
        <v>112</v>
      </c>
      <c r="V5" s="53" t="s">
        <v>113</v>
      </c>
      <c r="W5" s="53" t="s">
        <v>123</v>
      </c>
      <c r="X5" s="53" t="s">
        <v>114</v>
      </c>
      <c r="Y5" s="53" t="s">
        <v>115</v>
      </c>
      <c r="Z5" s="120" t="s">
        <v>241</v>
      </c>
      <c r="AA5" s="53" t="s">
        <v>106</v>
      </c>
      <c r="AB5" s="53" t="s">
        <v>107</v>
      </c>
      <c r="AC5" s="120" t="s">
        <v>108</v>
      </c>
      <c r="AD5" s="53" t="s">
        <v>173</v>
      </c>
      <c r="AE5" s="53" t="s">
        <v>174</v>
      </c>
      <c r="AF5" s="109" t="s">
        <v>172</v>
      </c>
      <c r="AG5" s="28" t="s">
        <v>95</v>
      </c>
      <c r="AH5" s="28" t="s">
        <v>96</v>
      </c>
      <c r="AI5" s="28" t="s">
        <v>97</v>
      </c>
      <c r="AJ5" s="28" t="s">
        <v>123</v>
      </c>
      <c r="AK5" s="28" t="s">
        <v>165</v>
      </c>
      <c r="AL5" s="28" t="s">
        <v>166</v>
      </c>
      <c r="AM5" s="28" t="s">
        <v>167</v>
      </c>
      <c r="AN5" s="28" t="s">
        <v>168</v>
      </c>
      <c r="AO5" s="28" t="s">
        <v>169</v>
      </c>
      <c r="AP5" s="28" t="s">
        <v>170</v>
      </c>
      <c r="AQ5" s="28" t="s">
        <v>171</v>
      </c>
      <c r="AR5" s="109" t="s">
        <v>175</v>
      </c>
      <c r="AS5" s="109" t="s">
        <v>176</v>
      </c>
      <c r="AT5" s="109" t="s">
        <v>177</v>
      </c>
      <c r="AU5" s="109" t="s">
        <v>227</v>
      </c>
      <c r="AV5" s="109" t="s">
        <v>227</v>
      </c>
      <c r="AW5" s="136"/>
      <c r="AX5" s="136"/>
      <c r="BE5" s="143"/>
      <c r="BF5" s="143"/>
      <c r="BG5" s="143"/>
      <c r="BH5" s="143"/>
      <c r="BI5" s="143"/>
    </row>
    <row r="6" spans="3:68" ht="52.5" customHeight="1" thickBot="1" x14ac:dyDescent="0.25">
      <c r="C6" s="42" t="str">
        <f>'LOCK-T'!H97</f>
        <v>LOCK-T 100 290</v>
      </c>
      <c r="D6" s="43">
        <f>VLOOKUP(VLOOKUP(C6,Data!$AA$4:$AD$24,4,FALSE),Data!$I$4:$S$15,2,FALSE)</f>
        <v>290</v>
      </c>
      <c r="E6" s="43">
        <f>IF(OR(C6="Lock-T 80",C6="Lock-T 100",C6="Lock-T 120"),17.5,25)</f>
        <v>25</v>
      </c>
      <c r="F6" s="42">
        <f>VLOOKUP(C6,Data!$AA$4:$AF$24,6,FALSE)</f>
        <v>4</v>
      </c>
      <c r="G6" s="43">
        <f>E6*F6</f>
        <v>100</v>
      </c>
      <c r="H6" s="43">
        <f>VLOOKUP(C6,Data!$AA$4:$AH$24,8,FALSE)</f>
        <v>8</v>
      </c>
      <c r="I6" s="42" t="str">
        <f>'LOCK-T'!H85</f>
        <v>GL22h</v>
      </c>
      <c r="J6" s="42" t="str">
        <f>'LOCK-T'!H124</f>
        <v>LBS Ø 7 x 80</v>
      </c>
      <c r="K6" s="43">
        <f>VLOOKUP(VLOOKUP(C6,Data!$AA$4:$AD$24,4,FALSE),Data!$I$4:$S$15,5,FALSE)*F6</f>
        <v>36</v>
      </c>
      <c r="L6" s="43">
        <f>VLOOKUP(J6,Screws!$C$6:$J$34,3,FALSE)</f>
        <v>7</v>
      </c>
      <c r="M6" s="43">
        <f>VLOOKUP(J6,Screws!$C$6:$J$34,5,FALSE)</f>
        <v>80</v>
      </c>
      <c r="N6" s="43">
        <f>VLOOKUP(J6,Screws!$C$6:$J$34,6,FALSE)</f>
        <v>75</v>
      </c>
      <c r="O6" s="43">
        <f>VLOOKUP(J6,Screws!$C$6:$J$34,7,FALSE)</f>
        <v>14174</v>
      </c>
      <c r="P6" s="43">
        <f>VLOOKUP(J6,Screws!$C$6:$J$34,8,FALSE)</f>
        <v>19200</v>
      </c>
      <c r="Q6" s="43">
        <f>VLOOKUP(I6,Data!$B$4:$C$36,2,FALSE)</f>
        <v>370</v>
      </c>
      <c r="R6" s="43">
        <f>IF(M13&lt;&gt;0,M13,90)</f>
        <v>90</v>
      </c>
      <c r="S6" s="179">
        <f>IF(I6="LVL",K15,IF(I6="CLT",J17,IF(Q6&gt;420,K13,J13)))</f>
        <v>6.7693373198801936</v>
      </c>
      <c r="T6" s="44">
        <f>IF(I6="LVL",0.5,0.3)</f>
        <v>0.3</v>
      </c>
      <c r="U6" s="44">
        <f>IF(I6="LVL",0.5,0.7)</f>
        <v>0.7</v>
      </c>
      <c r="V6" s="320">
        <f>IF(R6&lt;45,T6+U6*R6/45,1)</f>
        <v>1</v>
      </c>
      <c r="W6" s="43">
        <v>0</v>
      </c>
      <c r="X6" s="43">
        <f>IF(I6="LVL",1.5*COS(RADIANS(W6))^2+SIN(RADIANS(W6))^2,1)</f>
        <v>1</v>
      </c>
      <c r="Y6" s="43">
        <f>IF(I6="LVL",15,11.7)</f>
        <v>11.7</v>
      </c>
      <c r="Z6" s="46">
        <f>IF(I6="CLT",20*L6^(0.8)*MIN(N6,M6-H6)^(0.9),V6*Y6*L6*MIN(N6,(M6-H6))*(Q6/(IF(I6="LVL",500,350)))^(0.8)/X6)</f>
        <v>6164.8617526610669</v>
      </c>
      <c r="AA6" s="46">
        <f>0.4*S6*(M6-H6)*L6+MIN(0.4*S6*(M6-H6)*L6,IF(I6="CLT",1,IF(M13=0,5/6,1))*MIN(P6,Z6)/4)</f>
        <v>2649.0446021589028</v>
      </c>
      <c r="AB6" s="46">
        <f>1.15*SQRT(2*O6*S6*L6)+MIN(1.15*SQRT(2*O6*S6*L6),IF(I6="CLT",1,IF(M13=0,5/6,1))*MIN(P6,Z6)/4)</f>
        <v>2617.1958117017621</v>
      </c>
      <c r="AC6" s="46">
        <f>MIN(AA6,AB6)</f>
        <v>2617.1958117017621</v>
      </c>
      <c r="AD6" s="45">
        <f>INDEX(Data!$I$35:$O$46,MATCH(VLOOKUP(C6,Data!$AA$4:$AD$24,4,FALSE),Data!$I$35:$I$46,0),MATCH(F6,Data!$I$35:$O$35,0))</f>
        <v>20.9</v>
      </c>
      <c r="AE6" s="45">
        <f>INDEX(Data!$I$49:$O$60,MATCH(VLOOKUP(C6,Data!$AA$4:$AD$24,4,FALSE),Data!$I$49:$I$60,0),MATCH(F6,Data!$I$49:$O$49,0))</f>
        <v>227</v>
      </c>
      <c r="AF6" s="46">
        <f>(nef*AC6)/SQRT(1+(((nef*AC6)/(klat*Z6))^2))</f>
        <v>54657.65540723499</v>
      </c>
      <c r="AG6" s="42" t="str">
        <f>'LOCK-T'!H71</f>
        <v>GL24h</v>
      </c>
      <c r="AH6" s="42" t="str">
        <f>'LOCK-T'!H111</f>
        <v>LBS Ø 7 x 80</v>
      </c>
      <c r="AI6" s="43">
        <f>VLOOKUP(VLOOKUP(C6,Data!$AA$4:$AD$24,4,FALSE),Data!$I$4:$S$15,5,FALSE)*F6</f>
        <v>36</v>
      </c>
      <c r="AJ6" s="42">
        <v>0</v>
      </c>
      <c r="AK6" s="45">
        <f>VLOOKUP(AG6,Data!$B$2:$F$36,3,FALSE)</f>
        <v>24</v>
      </c>
      <c r="AL6" s="45">
        <f>VLOOKUP(AG6,Data!$B$2:$F$36,4,FALSE)</f>
        <v>2.5</v>
      </c>
      <c r="AM6" s="45">
        <v>1</v>
      </c>
      <c r="AN6" s="46">
        <f>VLOOKUP(VLOOKUP(C6,Data!$AA$4:$AD$24,4,FALSE),Data!$I$4:$L$15,4,FALSE)</f>
        <v>1945</v>
      </c>
      <c r="AO6" s="45">
        <f>G6</f>
        <v>100</v>
      </c>
      <c r="AP6" s="45">
        <f>'LOCK-T'!H70</f>
        <v>400</v>
      </c>
      <c r="AQ6" s="45">
        <f>VLOOKUP(AG6,Data!$B$2:$F$36,5,FALSE)</f>
        <v>1.2</v>
      </c>
      <c r="AR6" s="46">
        <f>AK6*AN6</f>
        <v>46680</v>
      </c>
      <c r="AS6" s="46">
        <f>AM6*AL6*AN6</f>
        <v>4862.5</v>
      </c>
      <c r="AT6" s="46">
        <f>((AP6-AO6)*D6*AQ6)/2</f>
        <v>52200</v>
      </c>
      <c r="AU6" s="47">
        <f>MIN(AF8,AR6)/1000</f>
        <v>46.68</v>
      </c>
      <c r="AV6" s="47">
        <f>MIN(AF8,AS6,AT6)/1000</f>
        <v>4.8624999999999998</v>
      </c>
      <c r="AW6" s="137"/>
      <c r="AX6" s="137"/>
      <c r="BG6" s="159" t="s">
        <v>227</v>
      </c>
      <c r="BH6" s="347" t="s">
        <v>1329</v>
      </c>
      <c r="BO6" t="s">
        <v>407</v>
      </c>
      <c r="BP6" t="s">
        <v>408</v>
      </c>
    </row>
    <row r="7" spans="3:68" ht="46.5" thickBot="1" x14ac:dyDescent="0.25">
      <c r="Z7" s="120" t="s">
        <v>242</v>
      </c>
      <c r="AF7" s="109" t="s">
        <v>172</v>
      </c>
      <c r="AI7" s="53" t="s">
        <v>98</v>
      </c>
      <c r="AJ7" s="53" t="s">
        <v>103</v>
      </c>
      <c r="BD7" s="99" t="str">
        <f>Translation!B7</f>
        <v>Muescado viga principal</v>
      </c>
      <c r="BE7" s="99" t="s">
        <v>179</v>
      </c>
      <c r="BF7" s="138" t="s">
        <v>222</v>
      </c>
      <c r="BG7" s="160">
        <f>AU6</f>
        <v>46.68</v>
      </c>
      <c r="BH7" s="348">
        <f>(BG7*'LOCK-T'!$H$47)/'LOCK-T'!$H$50</f>
        <v>28.726153846153846</v>
      </c>
      <c r="BM7" s="99" t="str">
        <f>Translation!B7</f>
        <v>Muescado viga principal</v>
      </c>
      <c r="BN7" s="99" t="s">
        <v>179</v>
      </c>
      <c r="BO7">
        <f>IF('LOCK-T'!H99=1,nef,secondo_Lateral!AD12)</f>
        <v>20.9</v>
      </c>
      <c r="BP7" s="76">
        <f>IF('LOCK-T'!H99=1,klat,secondo_Lateral!AE12)</f>
        <v>227</v>
      </c>
    </row>
    <row r="8" spans="3:68" ht="14.25" x14ac:dyDescent="0.2">
      <c r="H8" s="73">
        <f>H6</f>
        <v>8</v>
      </c>
      <c r="I8" s="76" t="str">
        <f t="shared" ref="I8:Y8" si="0">I6</f>
        <v>GL22h</v>
      </c>
      <c r="J8" s="76" t="str">
        <f t="shared" si="0"/>
        <v>LBS Ø 7 x 80</v>
      </c>
      <c r="K8" s="73">
        <f t="shared" si="0"/>
        <v>36</v>
      </c>
      <c r="L8" s="73">
        <f t="shared" si="0"/>
        <v>7</v>
      </c>
      <c r="M8" s="73">
        <f t="shared" si="0"/>
        <v>80</v>
      </c>
      <c r="N8" s="73">
        <f t="shared" si="0"/>
        <v>75</v>
      </c>
      <c r="O8" s="76">
        <f t="shared" si="0"/>
        <v>14174</v>
      </c>
      <c r="P8" s="73">
        <f t="shared" si="0"/>
        <v>19200</v>
      </c>
      <c r="Q8" s="73">
        <f t="shared" si="0"/>
        <v>370</v>
      </c>
      <c r="R8" s="73">
        <f>M13</f>
        <v>0</v>
      </c>
      <c r="S8" s="160">
        <f t="shared" si="0"/>
        <v>6.7693373198801936</v>
      </c>
      <c r="T8" s="160">
        <f t="shared" si="0"/>
        <v>0.3</v>
      </c>
      <c r="U8" s="160">
        <f t="shared" si="0"/>
        <v>0.7</v>
      </c>
      <c r="V8" s="45">
        <f>IF(R8&lt;45,T8+U8*R8/45,1)</f>
        <v>0.3</v>
      </c>
      <c r="W8" s="73">
        <f t="shared" si="0"/>
        <v>0</v>
      </c>
      <c r="X8" s="73">
        <f t="shared" si="0"/>
        <v>1</v>
      </c>
      <c r="Y8" s="76">
        <f t="shared" si="0"/>
        <v>11.7</v>
      </c>
      <c r="Z8" s="46">
        <f>IF(I8="CLT",20*L8^(0.8)*MIN(N8,M8-H8)^(0.9),V8*Y8*L8*MIN(N8,(M8-H8))*(Q8/(IF(I8="LVL",500,350)))^(0.8)/X8)</f>
        <v>1849.4585257983201</v>
      </c>
      <c r="AA8" s="46"/>
      <c r="AB8" s="46"/>
      <c r="AC8" s="46"/>
      <c r="AD8" s="45"/>
      <c r="AE8" s="45"/>
      <c r="AF8" s="46">
        <f>(nef*AC6)/SQRT(1+(((nef*AC6)/(klat*Z8))^2))</f>
        <v>54240.944686366136</v>
      </c>
      <c r="AI8" s="43">
        <f>VLOOKUP(AH6,Screws!$C$6:$J$34,3,FALSE)</f>
        <v>7</v>
      </c>
      <c r="AJ8" s="43">
        <f>VLOOKUP(AG6,Data!$B$4:$C$36,2,FALSE)</f>
        <v>385</v>
      </c>
      <c r="BD8" s="99" t="str">
        <f>Translation!B6</f>
        <v>Muescado columna</v>
      </c>
      <c r="BE8" s="99" t="s">
        <v>180</v>
      </c>
      <c r="BF8" s="138" t="s">
        <v>223</v>
      </c>
      <c r="BG8" s="160">
        <f>AV6</f>
        <v>4.8624999999999998</v>
      </c>
      <c r="BH8" s="348">
        <f>(BG8*'LOCK-T'!$H$47)/'LOCK-T'!$H$50</f>
        <v>2.9923076923076923</v>
      </c>
      <c r="BM8" s="99" t="str">
        <f>Translation!B6</f>
        <v>Muescado columna</v>
      </c>
      <c r="BN8" s="99" t="s">
        <v>180</v>
      </c>
      <c r="BO8">
        <f>IF('LOCK-T'!H99=1,nef,secondo_Lateral!AD12)</f>
        <v>20.9</v>
      </c>
      <c r="BP8" s="76">
        <f>IF('LOCK-T'!H99=1,klat,secondo_Lateral!AE12)</f>
        <v>227</v>
      </c>
    </row>
    <row r="9" spans="3:68" ht="14.25" x14ac:dyDescent="0.2">
      <c r="BD9" s="99" t="str">
        <f>Translation!B8</f>
        <v>Muescado viga secundaria</v>
      </c>
      <c r="BE9" s="99" t="s">
        <v>181</v>
      </c>
      <c r="BF9" s="138" t="s">
        <v>224</v>
      </c>
      <c r="BG9" s="160">
        <f>AZ32</f>
        <v>9.7249999999999996</v>
      </c>
      <c r="BH9" s="348">
        <f>(BG9*'LOCK-T'!$H$47)/'LOCK-T'!$H$50</f>
        <v>5.9846153846153847</v>
      </c>
      <c r="BM9" s="99" t="str">
        <f>Translation!B8</f>
        <v>Muescado viga secundaria</v>
      </c>
      <c r="BN9" s="99" t="s">
        <v>181</v>
      </c>
      <c r="BO9" s="76">
        <f>IF('LOCK-T'!H99=1,AD32,secondo_Lateral!AD38)</f>
        <v>20.9</v>
      </c>
      <c r="BP9" s="76">
        <f>IF('LOCK-T'!H99=1,AE32,secondo_Lateral!AE38)</f>
        <v>227</v>
      </c>
    </row>
    <row r="10" spans="3:68" ht="14.25" x14ac:dyDescent="0.2">
      <c r="BD10" s="99" t="str">
        <f>Translation!B9</f>
        <v>Tornillos inclinados</v>
      </c>
      <c r="BE10" s="99" t="s">
        <v>215</v>
      </c>
      <c r="BF10" s="138" t="s">
        <v>225</v>
      </c>
      <c r="BG10" s="160">
        <f>BF83</f>
        <v>4.856590093446794</v>
      </c>
      <c r="BH10" s="348">
        <f>(BG10*'LOCK-T'!$H$47)/'LOCK-T'!$H$50</f>
        <v>2.9886708267364885</v>
      </c>
      <c r="BM10" s="99" t="str">
        <f>Translation!B9</f>
        <v>Tornillos inclinados</v>
      </c>
      <c r="BN10" s="99" t="s">
        <v>215</v>
      </c>
      <c r="BO10" s="76">
        <f>IF('LOCK-T'!H99=1,AD83,secondo_Lateral!AD89)</f>
        <v>8.8000000000000007</v>
      </c>
      <c r="BP10" s="76">
        <f>IF('LOCK-T'!H99=1,AE83,secondo_Lateral!AE89)</f>
        <v>53</v>
      </c>
    </row>
    <row r="11" spans="3:68" ht="14.25" x14ac:dyDescent="0.2">
      <c r="I11" s="441" t="s">
        <v>250</v>
      </c>
      <c r="J11" s="441"/>
      <c r="K11" s="441"/>
      <c r="L11" s="441"/>
      <c r="AD11" s="76"/>
      <c r="AG11" s="441" t="s">
        <v>250</v>
      </c>
      <c r="AH11" s="441"/>
      <c r="AI11" s="441"/>
      <c r="AJ11" s="441"/>
      <c r="BD11" s="99" t="s">
        <v>214</v>
      </c>
      <c r="BE11" s="99" t="s">
        <v>214</v>
      </c>
      <c r="BF11" s="138" t="s">
        <v>226</v>
      </c>
      <c r="BG11" s="160">
        <f>BG107</f>
        <v>1.554</v>
      </c>
      <c r="BH11" s="349">
        <f>BG11/'LOCK-T'!H51</f>
        <v>1.2432000000000001</v>
      </c>
      <c r="BM11" s="99" t="s">
        <v>214</v>
      </c>
      <c r="BN11" s="99" t="s">
        <v>214</v>
      </c>
      <c r="BO11" s="76">
        <f>IF('LOCK-T'!H99=1,AD107,secondo_Lateral!AD113)</f>
        <v>12.6</v>
      </c>
      <c r="BP11" s="76">
        <f>IF('LOCK-T'!H99=1,AE107,secondo_Lateral!AE113)</f>
        <v>61</v>
      </c>
    </row>
    <row r="12" spans="3:68" ht="29.25" thickBot="1" x14ac:dyDescent="0.25">
      <c r="J12" t="s">
        <v>249</v>
      </c>
      <c r="K12" t="s">
        <v>248</v>
      </c>
      <c r="M12" s="53" t="s">
        <v>110</v>
      </c>
      <c r="AA12">
        <f>0.4*S6*(M6-H6)*L6</f>
        <v>1364.6984036878471</v>
      </c>
      <c r="AB12" t="s">
        <v>524</v>
      </c>
      <c r="AH12" t="s">
        <v>249</v>
      </c>
      <c r="AI12" t="s">
        <v>248</v>
      </c>
      <c r="AK12" s="53" t="s">
        <v>110</v>
      </c>
    </row>
    <row r="13" spans="3:68" ht="14.25" x14ac:dyDescent="0.2">
      <c r="I13" t="s">
        <v>247</v>
      </c>
      <c r="J13">
        <f>0.082*Q6*L6^(-0.3)/((2.5*COS(RADIANS(M13))^2+SIN(RADIANS(M13))^2))</f>
        <v>6.7693373198801936</v>
      </c>
      <c r="K13">
        <f>0.082*Q6*(1-0.01*L6)/((2.5*COS(RADIANS(M13))^2+SIN(RADIANS(M13))^2))</f>
        <v>11.286479999999999</v>
      </c>
      <c r="M13" s="43">
        <f>ABS('LOCK-T'!H86)</f>
        <v>0</v>
      </c>
      <c r="AA13">
        <f>+MIN(0.4*S6*(M6-H6)*L6,MIN(P6,Z6)/4)</f>
        <v>1364.6984036878471</v>
      </c>
      <c r="AG13" t="s">
        <v>247</v>
      </c>
      <c r="AH13">
        <f>0.082*AJ8*AI8^(-0.3)/((2.5*COS(RADIANS(AK13))^2+SIN(RADIANS(AK13))^2))</f>
        <v>17.609424784823478</v>
      </c>
      <c r="AI13">
        <f>0.082*AJ8*(1-0.01*AI8)/((2.5*COS(RADIANS(AK13))^2+SIN(RADIANS(AK13))^2))</f>
        <v>29.360099999999999</v>
      </c>
      <c r="AK13" s="43">
        <v>90</v>
      </c>
      <c r="BH13" s="350"/>
    </row>
    <row r="14" spans="3:68" x14ac:dyDescent="0.2">
      <c r="AA14">
        <f>AA12+AA13</f>
        <v>2729.3968073756942</v>
      </c>
    </row>
    <row r="15" spans="3:68" x14ac:dyDescent="0.2">
      <c r="I15" t="s">
        <v>2</v>
      </c>
      <c r="J15">
        <f>0.082*Q6*L6^(-0.3)/((2.5*COS(RADIANS(M13))^2+SIN(RADIANS(M13))^2)*(1.5*COS(RADIANS(W6))^2+SIN(RADIANS(W6))^2))</f>
        <v>4.512891546586796</v>
      </c>
      <c r="K15">
        <f>0.082*Q6*(1-0.01*L6)/((2.5*COS(RADIANS(M13))^2+SIN(RADIANS(M13))^2)*(1.5*COS(RADIANS(W6))^2+SIN(RADIANS(W6))^2))</f>
        <v>7.5243199999999995</v>
      </c>
      <c r="AG15" t="s">
        <v>2</v>
      </c>
      <c r="AH15">
        <f>0.082*AJ8*AI8^(-0.3)/((2.5*COS(RADIANS(AK13))^2+SIN(RADIANS(AK13))^2)*(1.5*COS(RADIANS(AJ6))^2+SIN(RADIANS(AJ6))^2))</f>
        <v>11.739616523215652</v>
      </c>
      <c r="AI15">
        <f>0.082*AJ8*(1-0.01*AI8)/((2.5*COS(RADIANS(AK13))^2+SIN(RADIANS(AK13))^2)*(1.5*COS(RADIANS(AJ6))^2+SIN(RADIANS(AJ6))^2))</f>
        <v>19.573399999999999</v>
      </c>
    </row>
    <row r="17" spans="3:52" x14ac:dyDescent="0.2">
      <c r="I17" t="s">
        <v>6</v>
      </c>
      <c r="J17">
        <f>IF(M13=0,20*L6^(-0.5),0.082*Q6*L6^(-0.3)/((2.5*COS(RADIANS(M13))^2+SIN(RADIANS(M13))^2)))</f>
        <v>7.5592894601845444</v>
      </c>
      <c r="AA17">
        <f>IF(I6="CLT",1,IF(M13=0,5/6,1))</f>
        <v>0.83333333333333337</v>
      </c>
      <c r="AG17" t="s">
        <v>6</v>
      </c>
      <c r="AH17" s="180">
        <f>IF(AK13=0,20*AI8^(-0.5),0.082*AJ8*AI8^(-0.3)/((2.5*COS(RADIANS(AK13))^2+SIN(RADIANS(AK13))^2)))</f>
        <v>17.609424784823478</v>
      </c>
    </row>
    <row r="18" spans="3:52" x14ac:dyDescent="0.2">
      <c r="AH18" s="180" t="s">
        <v>251</v>
      </c>
      <c r="AI18" s="180"/>
    </row>
    <row r="29" spans="3:52" ht="13.5" thickBot="1" x14ac:dyDescent="0.25"/>
    <row r="30" spans="3:52" ht="51.95" customHeight="1" x14ac:dyDescent="0.2">
      <c r="C30" s="437" t="s">
        <v>86</v>
      </c>
      <c r="D30" s="438"/>
      <c r="E30" s="438"/>
      <c r="F30" s="438"/>
      <c r="G30" s="438"/>
      <c r="H30" s="438"/>
      <c r="I30" s="440" t="s">
        <v>88</v>
      </c>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2" t="s">
        <v>87</v>
      </c>
      <c r="AH30" s="443"/>
      <c r="AI30" s="443"/>
      <c r="AJ30" s="443"/>
      <c r="AK30" s="443"/>
      <c r="AL30" s="443"/>
      <c r="AM30" s="443"/>
      <c r="AN30" s="443"/>
      <c r="AO30" s="443"/>
      <c r="AP30" s="443"/>
      <c r="AQ30" s="443"/>
      <c r="AR30" s="443"/>
      <c r="AS30" s="443"/>
      <c r="AT30" s="443"/>
      <c r="AU30" s="443"/>
      <c r="AV30" s="443"/>
      <c r="AW30" s="443"/>
      <c r="AX30" s="443"/>
      <c r="AY30" s="444"/>
      <c r="AZ30" s="49" t="s">
        <v>193</v>
      </c>
    </row>
    <row r="31" spans="3:52" ht="51.95" customHeight="1" thickBot="1" x14ac:dyDescent="0.25">
      <c r="C31" s="50" t="s">
        <v>90</v>
      </c>
      <c r="D31" s="51" t="s">
        <v>91</v>
      </c>
      <c r="E31" s="52" t="s">
        <v>92</v>
      </c>
      <c r="F31" s="51" t="s">
        <v>51</v>
      </c>
      <c r="G31" s="51" t="s">
        <v>93</v>
      </c>
      <c r="H31" s="51" t="s">
        <v>94</v>
      </c>
      <c r="I31" s="28" t="s">
        <v>95</v>
      </c>
      <c r="J31" s="28" t="s">
        <v>96</v>
      </c>
      <c r="K31" s="28" t="s">
        <v>97</v>
      </c>
      <c r="L31" s="28" t="s">
        <v>98</v>
      </c>
      <c r="M31" s="28" t="s">
        <v>99</v>
      </c>
      <c r="N31" s="28" t="s">
        <v>100</v>
      </c>
      <c r="O31" s="28" t="s">
        <v>101</v>
      </c>
      <c r="P31" s="28" t="s">
        <v>102</v>
      </c>
      <c r="Q31" s="28" t="s">
        <v>103</v>
      </c>
      <c r="R31" s="28" t="s">
        <v>110</v>
      </c>
      <c r="S31" s="28" t="s">
        <v>104</v>
      </c>
      <c r="T31" s="28" t="s">
        <v>111</v>
      </c>
      <c r="U31" s="28" t="s">
        <v>112</v>
      </c>
      <c r="V31" s="28" t="s">
        <v>113</v>
      </c>
      <c r="W31" s="28" t="s">
        <v>123</v>
      </c>
      <c r="X31" s="28" t="s">
        <v>114</v>
      </c>
      <c r="Y31" s="28" t="s">
        <v>115</v>
      </c>
      <c r="Z31" s="120" t="s">
        <v>105</v>
      </c>
      <c r="AA31" s="28" t="s">
        <v>106</v>
      </c>
      <c r="AB31" s="28" t="s">
        <v>107</v>
      </c>
      <c r="AC31" s="120" t="s">
        <v>117</v>
      </c>
      <c r="AD31" s="28" t="s">
        <v>173</v>
      </c>
      <c r="AE31" s="28" t="s">
        <v>174</v>
      </c>
      <c r="AF31" s="109" t="s">
        <v>187</v>
      </c>
      <c r="AG31" s="53" t="s">
        <v>95</v>
      </c>
      <c r="AH31" s="53" t="s">
        <v>96</v>
      </c>
      <c r="AI31" s="53" t="s">
        <v>97</v>
      </c>
      <c r="AJ31" s="53" t="s">
        <v>123</v>
      </c>
      <c r="AK31" s="53" t="s">
        <v>165</v>
      </c>
      <c r="AL31" s="53" t="s">
        <v>166</v>
      </c>
      <c r="AM31" s="53" t="s">
        <v>167</v>
      </c>
      <c r="AN31" s="53" t="s">
        <v>168</v>
      </c>
      <c r="AO31" s="53" t="s">
        <v>169</v>
      </c>
      <c r="AP31" s="53" t="s">
        <v>190</v>
      </c>
      <c r="AQ31" s="53" t="s">
        <v>171</v>
      </c>
      <c r="AR31" s="109" t="s">
        <v>188</v>
      </c>
      <c r="AS31" s="53" t="s">
        <v>185</v>
      </c>
      <c r="AT31" s="53" t="s">
        <v>178</v>
      </c>
      <c r="AU31" s="53" t="s">
        <v>191</v>
      </c>
      <c r="AV31" s="53" t="s">
        <v>19</v>
      </c>
      <c r="AW31" s="53" t="s">
        <v>192</v>
      </c>
      <c r="AX31" s="53" t="s">
        <v>186</v>
      </c>
      <c r="AY31" s="109" t="s">
        <v>189</v>
      </c>
      <c r="AZ31" s="54" t="s">
        <v>227</v>
      </c>
    </row>
    <row r="32" spans="3:52" ht="51.95" customHeight="1" thickBot="1" x14ac:dyDescent="0.25">
      <c r="C32" s="126" t="str">
        <f>'LOCK-T'!H97</f>
        <v>LOCK-T 100 290</v>
      </c>
      <c r="D32" s="127">
        <f>VLOOKUP(VLOOKUP(C32,Data!$AA$4:$AD$24,4,FALSE),Data!$I$4:$S$15,2,FALSE)</f>
        <v>290</v>
      </c>
      <c r="E32" s="127">
        <f>IF(OR(C32="Lock-T 80",C32="Lock-T 100",C32="Lock-T 120"),17.5,25)</f>
        <v>25</v>
      </c>
      <c r="F32" s="42">
        <f>VLOOKUP(C32,Data!$AA$4:$AF$24,6,FALSE)</f>
        <v>4</v>
      </c>
      <c r="G32" s="127">
        <f>E32*F32</f>
        <v>100</v>
      </c>
      <c r="H32" s="127">
        <f>VLOOKUP(C6,Data!$AA$4:$AH$24,8,FALSE)</f>
        <v>8</v>
      </c>
      <c r="I32" s="128" t="str">
        <f>'LOCK-T'!H71</f>
        <v>GL24h</v>
      </c>
      <c r="J32" s="128" t="str">
        <f>'LOCK-T'!H111</f>
        <v>LBS Ø 7 x 80</v>
      </c>
      <c r="K32" s="43">
        <f>VLOOKUP(VLOOKUP(C32,Data!$AA$4:$AD$24,4,FALSE),Data!$I$4:$S$15,5,FALSE)*F32</f>
        <v>36</v>
      </c>
      <c r="L32" s="127">
        <f>VLOOKUP(J32,Screws!$C$6:$J$34,3,FALSE)</f>
        <v>7</v>
      </c>
      <c r="M32" s="127">
        <f>VLOOKUP(J32,Screws!$C$6:$J$34,5,FALSE)</f>
        <v>80</v>
      </c>
      <c r="N32" s="127">
        <f>VLOOKUP(J32,Screws!$C$6:$J$34,6,FALSE)</f>
        <v>75</v>
      </c>
      <c r="O32" s="127">
        <f>VLOOKUP(J32,Screws!$C$6:$J$34,7,FALSE)</f>
        <v>14174</v>
      </c>
      <c r="P32" s="127">
        <f>VLOOKUP(J32,Screws!$C$6:$J$34,8,FALSE)</f>
        <v>19200</v>
      </c>
      <c r="Q32" s="127">
        <f>VLOOKUP(I32,Data!$B$4:$C$36,2,FALSE)</f>
        <v>385</v>
      </c>
      <c r="R32" s="127">
        <v>90</v>
      </c>
      <c r="S32" s="179">
        <f>IF('LOCK-T'!H72='LOCK-T'!AA54,IF(I32="LVL",K41,IF(Q32&gt;420,K39,K39)),IF(I32="LVL",K41,IF(I32="CLT",J43,IF(Q32&gt;420,K39,J39))))</f>
        <v>17.609424784823478</v>
      </c>
      <c r="T32" s="129">
        <f>IF(I32="LVL",0.5,0.3)</f>
        <v>0.3</v>
      </c>
      <c r="U32" s="129">
        <f>IF(I32="LVL",0.5,0.7)</f>
        <v>0.7</v>
      </c>
      <c r="V32" s="130">
        <f>IF(R32&lt;45,T32+U32*R32/45,1)</f>
        <v>1</v>
      </c>
      <c r="W32" s="127">
        <v>0</v>
      </c>
      <c r="X32" s="127">
        <f>IF(I32="LVL",1.5*COS(RADIANS(W32))^2+SIN(RADIANS(W32))^2,1)</f>
        <v>1</v>
      </c>
      <c r="Y32" s="127">
        <f>IF(I32="LVL",15,11.7)</f>
        <v>11.7</v>
      </c>
      <c r="Z32" s="131">
        <f>IF(I32="CLT",20*L32^(0.8)*MIN(N32,M32-H32)^(0.9),V32*Y32*L32*MIN(N32,(M32-H32))*(Q32/(IF(I32="LVL",500,350)))^(0.8)/X32)</f>
        <v>6364.0055001584997</v>
      </c>
      <c r="AA32" s="131">
        <f>0.4*S32*(M32-H32)*L32+MIN(0.4*S32*(M32-H32)*L32,MIN(P32,Z32)/4)</f>
        <v>5141.0614116600382</v>
      </c>
      <c r="AB32" s="131">
        <f>1.15*SQRT(2*O32*S32*L32)+MIN(1.15*SQRT(2*O32*S32*L32),MIN(P32,Z32)/4)</f>
        <v>3740.7152391283153</v>
      </c>
      <c r="AC32" s="131">
        <f>MIN(AA32,AB32)</f>
        <v>3740.7152391283153</v>
      </c>
      <c r="AD32" s="130">
        <f>INDEX(Data!$I$35:$O$46,MATCH(VLOOKUP(C32,Data!$AA$4:$AD$24,4,FALSE),Data!$I$35:$I$46,0),MATCH(F32,Data!$I$35:$O$35,0))</f>
        <v>20.9</v>
      </c>
      <c r="AE32" s="130">
        <f>INDEX(Data!$I$49:$O$60,MATCH(VLOOKUP(C32,Data!$AA$4:$AD$24,4,FALSE),Data!$I$49:$I$60,0),MATCH(F32,Data!$I$49:$O$49,0))</f>
        <v>227</v>
      </c>
      <c r="AF32" s="131">
        <f>(AD32*AC32)/SQRT(1+(((AD32*AC32)/(AE32*Z32))^2))</f>
        <v>78066.711360667439</v>
      </c>
      <c r="AG32" s="128" t="str">
        <f>'LOCK-T'!H85</f>
        <v>GL22h</v>
      </c>
      <c r="AH32" s="128" t="str">
        <f>'LOCK-T'!H124</f>
        <v>LBS Ø 7 x 80</v>
      </c>
      <c r="AI32" s="127">
        <f>VLOOKUP(VLOOKUP(C32,Data!$AA$4:$AD$24,4,FALSE),Data!$I$4:$S$15,5,FALSE)*F32</f>
        <v>36</v>
      </c>
      <c r="AJ32" s="128">
        <v>0</v>
      </c>
      <c r="AK32" s="130">
        <f>VLOOKUP(AG32,Data!$B$2:$F$36,3,FALSE)</f>
        <v>22</v>
      </c>
      <c r="AL32" s="130">
        <f>VLOOKUP(AG32,Data!$B$2:$F$36,4,FALSE)</f>
        <v>2.5</v>
      </c>
      <c r="AM32" s="130">
        <v>1</v>
      </c>
      <c r="AN32" s="131">
        <f>VLOOKUP(VLOOKUP(C32,Data!$AA$4:$AD$24,4,FALSE),Data!$I$4:$L$15,4,FALSE)</f>
        <v>1945</v>
      </c>
      <c r="AO32" s="130">
        <f>G32</f>
        <v>100</v>
      </c>
      <c r="AP32" s="130">
        <f>'LOCK-T'!H83</f>
        <v>240</v>
      </c>
      <c r="AQ32" s="130">
        <f>VLOOKUP(AG32,Data!$B$2:$F$36,5,FALSE)</f>
        <v>1.2</v>
      </c>
      <c r="AR32" s="131">
        <f>2*AM32*AL32*AN32</f>
        <v>9725</v>
      </c>
      <c r="AS32" s="127">
        <f>VLOOKUP(AG32,Data!$B$2:$G$36,6,FALSE)</f>
        <v>3.5</v>
      </c>
      <c r="AT32" s="134">
        <f>(0.5*(AP32-AO32))/AP32</f>
        <v>0.29166666666666669</v>
      </c>
      <c r="AU32" s="133">
        <f>VLOOKUP(AG32,$BD$34:$BE$72,2,FALSE)</f>
        <v>6.5</v>
      </c>
      <c r="AV32" s="133">
        <v>20</v>
      </c>
      <c r="AW32" s="133">
        <v>0</v>
      </c>
      <c r="AX32" s="134">
        <f>MIN(AU32*(1+1.1*AW32^1.5/SQRT(AP32))/(SQRT(AP32)*(SQRT(AT32*(1-AT32))+0.8*(AV32/AP32)*SQRT(1/AT32-AT32^2))),1)</f>
        <v>0.72788065211624708</v>
      </c>
      <c r="AY32" s="131">
        <f>(AX32*AS32*D32*(AP32-AO32))/3</f>
        <v>34477.280221906236</v>
      </c>
      <c r="AZ32" s="132">
        <f>MIN(AF32,AR32,AY32)/1000</f>
        <v>9.7249999999999996</v>
      </c>
    </row>
    <row r="33" spans="9:62" ht="51.95" customHeight="1" thickBot="1" x14ac:dyDescent="0.25">
      <c r="BH33" s="138"/>
      <c r="BI33" s="139"/>
      <c r="BJ33" s="140"/>
    </row>
    <row r="34" spans="9:62" ht="18" customHeight="1" x14ac:dyDescent="0.2">
      <c r="BD34" s="445" t="s">
        <v>45</v>
      </c>
      <c r="BE34" s="447" t="s">
        <v>191</v>
      </c>
      <c r="BH34" s="138"/>
      <c r="BI34" s="139"/>
      <c r="BJ34" s="140"/>
    </row>
    <row r="35" spans="9:62" ht="13.5" thickBot="1" x14ac:dyDescent="0.25">
      <c r="T35" s="2"/>
      <c r="BD35" s="446"/>
      <c r="BE35" s="448"/>
      <c r="BH35" s="138"/>
      <c r="BI35" s="29"/>
      <c r="BJ35" s="140"/>
    </row>
    <row r="36" spans="9:62" x14ac:dyDescent="0.2">
      <c r="BD36" s="1" t="s">
        <v>55</v>
      </c>
      <c r="BE36" s="76">
        <v>6.5</v>
      </c>
      <c r="BH36" s="74"/>
      <c r="BI36" s="3"/>
      <c r="BJ36" s="140"/>
    </row>
    <row r="37" spans="9:62" x14ac:dyDescent="0.2">
      <c r="I37" s="441" t="s">
        <v>250</v>
      </c>
      <c r="J37" s="441"/>
      <c r="K37" s="441"/>
      <c r="L37" s="441"/>
      <c r="AP37" s="125"/>
      <c r="BD37" s="1" t="s">
        <v>57</v>
      </c>
      <c r="BE37" s="76">
        <v>6.5</v>
      </c>
      <c r="BH37" s="74"/>
      <c r="BI37" s="3"/>
      <c r="BJ37" s="75"/>
    </row>
    <row r="38" spans="9:62" ht="29.25" thickBot="1" x14ac:dyDescent="0.25">
      <c r="J38" t="s">
        <v>249</v>
      </c>
      <c r="K38" t="s">
        <v>248</v>
      </c>
      <c r="M38" s="53" t="s">
        <v>110</v>
      </c>
      <c r="BD38" s="1" t="s">
        <v>1</v>
      </c>
      <c r="BE38" s="76">
        <v>6.5</v>
      </c>
      <c r="BH38" s="74"/>
      <c r="BI38" s="3"/>
      <c r="BJ38" s="75"/>
    </row>
    <row r="39" spans="9:62" ht="14.25" x14ac:dyDescent="0.2">
      <c r="I39" t="s">
        <v>247</v>
      </c>
      <c r="J39">
        <f>0.082*$Q$32*$L$32^(-0.3)/((2.5*COS(RADIANS($M$39))^2+SIN(RADIANS($M$39))^2))</f>
        <v>17.609424784823478</v>
      </c>
      <c r="K39">
        <f>0.082*$Q$32*(1-0.01*$L$32)/((2.5*COS(RADIANS($M$39))^2+SIN(RADIANS($M$39))^2))</f>
        <v>29.360099999999999</v>
      </c>
      <c r="M39" s="43">
        <v>90</v>
      </c>
      <c r="BD39" s="1" t="s">
        <v>60</v>
      </c>
      <c r="BE39" s="76">
        <v>6.5</v>
      </c>
      <c r="BH39" s="74"/>
      <c r="BI39" s="137"/>
      <c r="BJ39" s="75"/>
    </row>
    <row r="40" spans="9:62" x14ac:dyDescent="0.2">
      <c r="BD40" s="1" t="s">
        <v>62</v>
      </c>
      <c r="BE40" s="76">
        <v>6.5</v>
      </c>
    </row>
    <row r="41" spans="9:62" x14ac:dyDescent="0.2">
      <c r="I41" t="s">
        <v>2</v>
      </c>
      <c r="J41">
        <f>0.082*$Q$32*$L$32^(-0.3)/((2.5*COS(RADIANS($M$39))^2+SIN(RADIANS($M$39))^2)*(1.5*COS(RADIANS($W$32))^2+SIN(RADIANS($W$32))^2))</f>
        <v>11.739616523215652</v>
      </c>
      <c r="K41">
        <f>0.082*$Q$32*(1-0.01*$L$32)/((2.5*COS(RADIANS($M$39))^2+SIN(RADIANS($M$39))^2)*(1.5*COS(RADIANS($W$32))^2+SIN(RADIANS($W$32))^2))</f>
        <v>19.573399999999999</v>
      </c>
      <c r="BD41" s="1" t="s">
        <v>64</v>
      </c>
      <c r="BE41" s="76">
        <v>6.5</v>
      </c>
    </row>
    <row r="42" spans="9:62" x14ac:dyDescent="0.2">
      <c r="BD42" s="1" t="s">
        <v>66</v>
      </c>
      <c r="BE42" s="76">
        <v>6.5</v>
      </c>
    </row>
    <row r="43" spans="9:62" x14ac:dyDescent="0.2">
      <c r="I43" t="s">
        <v>6</v>
      </c>
      <c r="J43" s="180">
        <f>IF(M39=0,20*L32^(-0.5),0.082*$Q$32*$L$32^(-0.3)/((2.5*COS(RADIANS($M$39))^2+SIN(RADIANS($M$39))^2)))</f>
        <v>17.609424784823478</v>
      </c>
      <c r="BD43" s="1"/>
      <c r="BE43" s="76"/>
    </row>
    <row r="44" spans="9:62" x14ac:dyDescent="0.2">
      <c r="BD44" s="1" t="s">
        <v>68</v>
      </c>
      <c r="BE44" s="76">
        <v>6.5</v>
      </c>
    </row>
    <row r="45" spans="9:62" x14ac:dyDescent="0.2">
      <c r="BD45" s="1" t="s">
        <v>70</v>
      </c>
      <c r="BE45" s="76">
        <v>6.5</v>
      </c>
    </row>
    <row r="46" spans="9:62" x14ac:dyDescent="0.2">
      <c r="BD46" s="1" t="s">
        <v>71</v>
      </c>
      <c r="BE46" s="76">
        <v>6.5</v>
      </c>
    </row>
    <row r="47" spans="9:62" x14ac:dyDescent="0.2">
      <c r="BD47" s="1" t="s">
        <v>72</v>
      </c>
      <c r="BE47" s="76">
        <v>6.5</v>
      </c>
    </row>
    <row r="48" spans="9:62" x14ac:dyDescent="0.2">
      <c r="BD48" s="1" t="s">
        <v>73</v>
      </c>
      <c r="BE48" s="76">
        <v>6.5</v>
      </c>
    </row>
    <row r="49" spans="56:57" x14ac:dyDescent="0.2">
      <c r="BD49" s="1" t="s">
        <v>74</v>
      </c>
      <c r="BE49" s="76">
        <v>6.5</v>
      </c>
    </row>
    <row r="50" spans="56:57" x14ac:dyDescent="0.2">
      <c r="BD50" s="1" t="s">
        <v>75</v>
      </c>
      <c r="BE50" s="76">
        <v>6.5</v>
      </c>
    </row>
    <row r="51" spans="56:57" x14ac:dyDescent="0.2">
      <c r="BD51" s="1"/>
      <c r="BE51" s="76"/>
    </row>
    <row r="52" spans="56:57" x14ac:dyDescent="0.2">
      <c r="BD52" s="1" t="s">
        <v>76</v>
      </c>
      <c r="BE52" s="76">
        <v>5</v>
      </c>
    </row>
    <row r="53" spans="56:57" x14ac:dyDescent="0.2">
      <c r="BD53" s="1" t="s">
        <v>77</v>
      </c>
      <c r="BE53" s="76">
        <v>5</v>
      </c>
    </row>
    <row r="54" spans="56:57" x14ac:dyDescent="0.2">
      <c r="BD54" s="1" t="s">
        <v>78</v>
      </c>
      <c r="BE54" s="76">
        <v>5</v>
      </c>
    </row>
    <row r="55" spans="56:57" x14ac:dyDescent="0.2">
      <c r="BD55" s="1" t="s">
        <v>79</v>
      </c>
      <c r="BE55" s="76">
        <v>5</v>
      </c>
    </row>
    <row r="56" spans="56:57" x14ac:dyDescent="0.2">
      <c r="BD56" s="1" t="s">
        <v>80</v>
      </c>
      <c r="BE56" s="76">
        <v>5</v>
      </c>
    </row>
    <row r="57" spans="56:57" x14ac:dyDescent="0.2">
      <c r="BD57" s="1" t="s">
        <v>0</v>
      </c>
      <c r="BE57" s="76">
        <v>5</v>
      </c>
    </row>
    <row r="58" spans="56:57" x14ac:dyDescent="0.2">
      <c r="BD58" s="1" t="s">
        <v>81</v>
      </c>
      <c r="BE58" s="76">
        <v>5</v>
      </c>
    </row>
    <row r="59" spans="56:57" x14ac:dyDescent="0.2">
      <c r="BD59" s="1" t="s">
        <v>82</v>
      </c>
      <c r="BE59" s="76">
        <v>5</v>
      </c>
    </row>
    <row r="60" spans="56:57" x14ac:dyDescent="0.2">
      <c r="BD60" s="1" t="s">
        <v>83</v>
      </c>
      <c r="BE60" s="76">
        <v>5</v>
      </c>
    </row>
    <row r="61" spans="56:57" x14ac:dyDescent="0.2">
      <c r="BD61" s="1" t="s">
        <v>84</v>
      </c>
      <c r="BE61" s="76">
        <v>5</v>
      </c>
    </row>
    <row r="62" spans="56:57" x14ac:dyDescent="0.2">
      <c r="BD62" s="1" t="s">
        <v>85</v>
      </c>
      <c r="BE62" s="76">
        <v>5</v>
      </c>
    </row>
    <row r="63" spans="56:57" x14ac:dyDescent="0.2">
      <c r="BD63" s="1" t="s">
        <v>5</v>
      </c>
      <c r="BE63" s="76">
        <v>5</v>
      </c>
    </row>
    <row r="64" spans="56:57" x14ac:dyDescent="0.2">
      <c r="BD64" s="1"/>
      <c r="BE64" s="76"/>
    </row>
    <row r="65" spans="56:57" x14ac:dyDescent="0.2">
      <c r="BD65" s="1" t="s">
        <v>2</v>
      </c>
      <c r="BE65" s="76">
        <v>4.5</v>
      </c>
    </row>
    <row r="66" spans="56:57" ht="13.5" thickBot="1" x14ac:dyDescent="0.25">
      <c r="BD66" s="34" t="s">
        <v>6</v>
      </c>
      <c r="BE66" s="76">
        <v>6.5</v>
      </c>
    </row>
    <row r="68" spans="56:57" x14ac:dyDescent="0.2">
      <c r="BD68" s="3" t="s">
        <v>492</v>
      </c>
      <c r="BE68" s="76">
        <v>5</v>
      </c>
    </row>
    <row r="69" spans="56:57" x14ac:dyDescent="0.2">
      <c r="BD69" s="3" t="s">
        <v>493</v>
      </c>
      <c r="BE69" s="76">
        <v>5</v>
      </c>
    </row>
    <row r="70" spans="56:57" x14ac:dyDescent="0.2">
      <c r="BD70" s="3" t="s">
        <v>494</v>
      </c>
      <c r="BE70" s="76">
        <v>5</v>
      </c>
    </row>
    <row r="71" spans="56:57" x14ac:dyDescent="0.2">
      <c r="BD71" s="3" t="s">
        <v>495</v>
      </c>
      <c r="BE71" s="76">
        <v>5</v>
      </c>
    </row>
    <row r="72" spans="56:57" x14ac:dyDescent="0.2">
      <c r="BD72" s="3" t="s">
        <v>496</v>
      </c>
      <c r="BE72" s="76">
        <v>5</v>
      </c>
    </row>
    <row r="80" spans="56:57" ht="13.5" thickBot="1" x14ac:dyDescent="0.25"/>
    <row r="81" spans="3:64" ht="51.95" customHeight="1" x14ac:dyDescent="0.2">
      <c r="C81" s="437" t="s">
        <v>86</v>
      </c>
      <c r="D81" s="438"/>
      <c r="E81" s="438"/>
      <c r="F81" s="438"/>
      <c r="G81" s="438"/>
      <c r="H81" s="438"/>
      <c r="I81" s="439" t="s">
        <v>87</v>
      </c>
      <c r="J81" s="439"/>
      <c r="K81" s="439"/>
      <c r="L81" s="439"/>
      <c r="M81" s="439"/>
      <c r="N81" s="439"/>
      <c r="O81" s="439"/>
      <c r="P81" s="439"/>
      <c r="Q81" s="439"/>
      <c r="R81" s="439"/>
      <c r="S81" s="439"/>
      <c r="T81" s="439"/>
      <c r="U81" s="439"/>
      <c r="V81" s="439"/>
      <c r="W81" s="439"/>
      <c r="X81" s="439"/>
      <c r="Y81" s="439"/>
      <c r="Z81" s="439"/>
      <c r="AA81" s="439"/>
      <c r="AB81" s="439"/>
      <c r="AC81" s="439"/>
      <c r="AD81" s="439"/>
      <c r="AE81" s="439"/>
      <c r="AF81" s="439"/>
      <c r="AG81" s="440" t="s">
        <v>88</v>
      </c>
      <c r="AH81" s="440"/>
      <c r="AI81" s="440"/>
      <c r="AJ81" s="440"/>
      <c r="AK81" s="440"/>
      <c r="AL81" s="440"/>
      <c r="AM81" s="440"/>
      <c r="AN81" s="440"/>
      <c r="AO81" s="440"/>
      <c r="AP81" s="440"/>
      <c r="AQ81" s="440"/>
      <c r="AR81" s="440"/>
      <c r="AS81" s="440"/>
      <c r="AT81" s="440"/>
      <c r="AU81" s="440"/>
      <c r="AV81" s="440"/>
      <c r="AW81" s="440"/>
      <c r="AX81" s="440"/>
      <c r="AY81" s="440"/>
      <c r="AZ81" s="440"/>
      <c r="BA81" s="440"/>
      <c r="BB81" s="440"/>
      <c r="BC81" s="440"/>
      <c r="BD81" s="440"/>
      <c r="BE81" s="103"/>
      <c r="BF81" s="49" t="s">
        <v>7</v>
      </c>
    </row>
    <row r="82" spans="3:64" ht="46.5" thickBot="1" x14ac:dyDescent="0.25">
      <c r="C82" s="50" t="s">
        <v>90</v>
      </c>
      <c r="D82" s="51" t="s">
        <v>91</v>
      </c>
      <c r="E82" s="52" t="s">
        <v>92</v>
      </c>
      <c r="F82" s="51" t="s">
        <v>51</v>
      </c>
      <c r="G82" s="51" t="s">
        <v>93</v>
      </c>
      <c r="H82" s="51" t="s">
        <v>94</v>
      </c>
      <c r="I82" s="53" t="s">
        <v>95</v>
      </c>
      <c r="J82" s="53" t="s">
        <v>96</v>
      </c>
      <c r="K82" s="53" t="s">
        <v>97</v>
      </c>
      <c r="L82" s="53" t="s">
        <v>98</v>
      </c>
      <c r="M82" s="53" t="s">
        <v>99</v>
      </c>
      <c r="N82" s="53" t="s">
        <v>100</v>
      </c>
      <c r="O82" s="53" t="s">
        <v>101</v>
      </c>
      <c r="P82" s="53" t="s">
        <v>102</v>
      </c>
      <c r="Q82" s="53" t="s">
        <v>103</v>
      </c>
      <c r="R82" s="53" t="s">
        <v>110</v>
      </c>
      <c r="S82" s="53" t="s">
        <v>104</v>
      </c>
      <c r="T82" s="53" t="s">
        <v>111</v>
      </c>
      <c r="U82" s="53" t="s">
        <v>112</v>
      </c>
      <c r="V82" s="53" t="s">
        <v>113</v>
      </c>
      <c r="W82" s="53" t="s">
        <v>123</v>
      </c>
      <c r="X82" s="53" t="s">
        <v>114</v>
      </c>
      <c r="Y82" s="53" t="s">
        <v>115</v>
      </c>
      <c r="Z82" s="120" t="s">
        <v>241</v>
      </c>
      <c r="AA82" s="53" t="s">
        <v>106</v>
      </c>
      <c r="AB82" s="53" t="s">
        <v>107</v>
      </c>
      <c r="AC82" s="120" t="s">
        <v>108</v>
      </c>
      <c r="AD82" s="53" t="s">
        <v>173</v>
      </c>
      <c r="AE82" s="53" t="s">
        <v>174</v>
      </c>
      <c r="AF82" s="109" t="s">
        <v>172</v>
      </c>
      <c r="AG82" s="28" t="s">
        <v>95</v>
      </c>
      <c r="AH82" s="28" t="s">
        <v>96</v>
      </c>
      <c r="AI82" s="141" t="s">
        <v>195</v>
      </c>
      <c r="AJ82" s="28" t="s">
        <v>123</v>
      </c>
      <c r="AK82" s="28" t="s">
        <v>98</v>
      </c>
      <c r="AL82" s="28" t="s">
        <v>99</v>
      </c>
      <c r="AM82" s="28" t="s">
        <v>100</v>
      </c>
      <c r="AN82" s="28" t="s">
        <v>101</v>
      </c>
      <c r="AO82" s="28" t="s">
        <v>102</v>
      </c>
      <c r="AP82" s="28" t="s">
        <v>103</v>
      </c>
      <c r="AQ82" s="28" t="s">
        <v>110</v>
      </c>
      <c r="AR82" s="28" t="s">
        <v>104</v>
      </c>
      <c r="AS82" s="28" t="s">
        <v>111</v>
      </c>
      <c r="AT82" s="28" t="s">
        <v>112</v>
      </c>
      <c r="AU82" s="28" t="s">
        <v>113</v>
      </c>
      <c r="AV82" s="28" t="s">
        <v>114</v>
      </c>
      <c r="AW82" s="28" t="s">
        <v>115</v>
      </c>
      <c r="AX82" s="28" t="s">
        <v>116</v>
      </c>
      <c r="AY82" s="172" t="s">
        <v>236</v>
      </c>
      <c r="AZ82" s="172" t="s">
        <v>232</v>
      </c>
      <c r="BA82" s="172" t="s">
        <v>237</v>
      </c>
      <c r="BB82" s="28" t="s">
        <v>117</v>
      </c>
      <c r="BC82" s="141" t="s">
        <v>194</v>
      </c>
      <c r="BD82" s="172" t="s">
        <v>233</v>
      </c>
      <c r="BE82" s="28"/>
      <c r="BF82" s="54" t="s">
        <v>121</v>
      </c>
    </row>
    <row r="83" spans="3:64" ht="51.95" customHeight="1" thickBot="1" x14ac:dyDescent="0.25">
      <c r="C83" s="42" t="str">
        <f>'LOCK-T'!H97</f>
        <v>LOCK-T 100 290</v>
      </c>
      <c r="D83" s="127">
        <f>VLOOKUP(VLOOKUP(C83,Data!$AA$4:$AD$24,4,FALSE),Data!$I$4:$S$15,2,FALSE)</f>
        <v>290</v>
      </c>
      <c r="E83" s="43">
        <f>IF(OR(C83="Lock-T 80",C83="Lock-T 100",C83="Lock-T 120"),17.5,25)</f>
        <v>25</v>
      </c>
      <c r="F83" s="42">
        <f>VLOOKUP(C83,Data!$AA$4:$AF$24,6,FALSE)</f>
        <v>4</v>
      </c>
      <c r="G83" s="43">
        <f>E83*F83</f>
        <v>100</v>
      </c>
      <c r="H83" s="43">
        <f>VLOOKUP(C6,Data!$AA$4:$AH$24,8,FALSE)</f>
        <v>8</v>
      </c>
      <c r="I83" s="42" t="str">
        <f>'LOCK-T'!H85</f>
        <v>GL22h</v>
      </c>
      <c r="J83" s="42" t="str">
        <f>'LOCK-T'!H124</f>
        <v>LBS Ø 7 x 80</v>
      </c>
      <c r="K83" s="43">
        <f>VLOOKUP(VLOOKUP(C83,Data!$AA$4:$AD$24,4,FALSE),Data!$I$4:$S$15,5,FALSE)*F83</f>
        <v>36</v>
      </c>
      <c r="L83" s="43">
        <f>VLOOKUP(J83,Screws!$C$6:$J$34,3,FALSE)</f>
        <v>7</v>
      </c>
      <c r="M83" s="43">
        <f>VLOOKUP(J83,Screws!$C$6:$J$34,5,FALSE)</f>
        <v>80</v>
      </c>
      <c r="N83" s="43">
        <f>VLOOKUP(J83,Screws!$C$6:$J$34,6,FALSE)</f>
        <v>75</v>
      </c>
      <c r="O83" s="43">
        <f>VLOOKUP(J83,Screws!$C$6:$J$34,7,FALSE)</f>
        <v>14174</v>
      </c>
      <c r="P83" s="43">
        <f>VLOOKUP(J83,Screws!$C$6:$J$34,8,FALSE)</f>
        <v>19200</v>
      </c>
      <c r="Q83" s="43">
        <f>VLOOKUP(I83,Data!$B$4:$C$36,2,FALSE)</f>
        <v>370</v>
      </c>
      <c r="R83" s="43">
        <f>IF(M90&lt;&gt;0,M90,90)</f>
        <v>90</v>
      </c>
      <c r="S83" s="179">
        <f>IF(I83="LVL",K92,IF(I83="CLT",J94,IF(Q83&gt;420,K90,J90)))</f>
        <v>6.7693373198801936</v>
      </c>
      <c r="T83" s="44">
        <f>IF(I83="LVL",0.5,0.3)</f>
        <v>0.3</v>
      </c>
      <c r="U83" s="44">
        <f>IF(I83="LVL",0.5,0.7)</f>
        <v>0.7</v>
      </c>
      <c r="V83" s="45">
        <f>IF(R83&lt;45,T83+U83*R83/45,1)</f>
        <v>1</v>
      </c>
      <c r="W83" s="43">
        <v>0</v>
      </c>
      <c r="X83" s="43">
        <f>IF(I83="LVL",1.5*COS(RADIANS(W83))^2+SIN(RADIANS(W83))^2,1)</f>
        <v>1</v>
      </c>
      <c r="Y83" s="43">
        <f>IF(I83="LVL",15,11.7)</f>
        <v>11.7</v>
      </c>
      <c r="Z83" s="46">
        <f>IF(I83="CLT",20*L83^(0.8)*MIN(N83,M83-H83)^(0.9),V83*Y83*L83*MIN(N83,(M83-H83))*(Q83/(IF(I83="LVL",500,350)))^(0.8)/X83)</f>
        <v>6164.8617526610669</v>
      </c>
      <c r="AA83" s="46">
        <f>0.4*S83*(M83-H83)*L83+MIN(0.4*S83*(M83-H83)*L83,IF(I83="CLT",1,IF(M90=0,5/6,1))*MIN(P83,Z83)/4)</f>
        <v>2649.0446021589028</v>
      </c>
      <c r="AB83" s="46">
        <f>1.15*SQRT(2*O83*S83*L83)+MIN(1.15*SQRT(2*O83*S83*L83),IF(I83="CLT",1,IF(M90=0,5/6,1))*MIN(P83,Z83)/4)</f>
        <v>2617.1958117017621</v>
      </c>
      <c r="AC83" s="46">
        <f>MIN(AA83,AB83)</f>
        <v>2617.1958117017621</v>
      </c>
      <c r="AD83" s="45">
        <f>INDEX(Data!$I$64:$O$75,MATCH(VLOOKUP(C83,Data!$AA$4:$AD$24,4,FALSE),Data!$I$64:$I$75,0),MATCH(F83,Data!$I$64:$O$64,0))</f>
        <v>8.8000000000000007</v>
      </c>
      <c r="AE83" s="45">
        <f>INDEX(Data!$I$79:$O$90,MATCH(VLOOKUP(C83,Data!$AA$4:$AD$24,4,FALSE),Data!$I$79:$I$90,0),MATCH(F83,Data!$I$79:$O$79,0))</f>
        <v>53</v>
      </c>
      <c r="AF83" s="46"/>
      <c r="AG83" s="42" t="str">
        <f>'LOCK-T'!H71</f>
        <v>GL24h</v>
      </c>
      <c r="AH83" s="42" t="str">
        <f>'LOCK-T'!H141</f>
        <v>LBS Ø 5 x 60</v>
      </c>
      <c r="AI83" s="127">
        <f>VLOOKUP(C83,Data!AA32:AC50,3,FALSE)</f>
        <v>2</v>
      </c>
      <c r="AJ83" s="42">
        <v>0</v>
      </c>
      <c r="AK83" s="43">
        <f>VLOOKUP(AH83,Screws!$C$6:$J$34,3,FALSE)</f>
        <v>5</v>
      </c>
      <c r="AL83" s="43">
        <f>VLOOKUP(AH83,Screws!$C$6:$J$34,5,FALSE)</f>
        <v>60</v>
      </c>
      <c r="AM83" s="43">
        <f>VLOOKUP(AH83,Screws!$C$6:$J$34,6,FALSE)</f>
        <v>56</v>
      </c>
      <c r="AN83" s="43">
        <f>VLOOKUP(AH83,Screws!$C$6:$J$34,7,FALSE)</f>
        <v>5417.2</v>
      </c>
      <c r="AO83" s="43">
        <f>VLOOKUP(AH83,Screws!$C$6:$J$34,8,FALSE)</f>
        <v>7900</v>
      </c>
      <c r="AP83" s="43">
        <f>VLOOKUP(AG83,Data!$B$4:$C$36,2,FALSE)</f>
        <v>385</v>
      </c>
      <c r="AQ83" s="43">
        <f>IF('LOCK-T'!H72='LOCK-T'!AA53,90,45)</f>
        <v>90</v>
      </c>
      <c r="AR83" s="179">
        <f>IF('LOCK-T'!H72='LOCK-T'!AA54,IF(AG83="LVL",AI92,IF(AP83&gt;420,AI90,AI90)),IF(AG83="LVL",AI92,IF(AG83="CLT",AH94,IF(AP83&gt;420,AI90,AH90))))</f>
        <v>19.479759046070704</v>
      </c>
      <c r="AS83" s="44">
        <f>IF(AG83="LVL",0.5,0.3)</f>
        <v>0.3</v>
      </c>
      <c r="AT83" s="44">
        <f>IF(AG83="LVL",0.5,0.7)</f>
        <v>0.7</v>
      </c>
      <c r="AU83" s="45">
        <f>IF(AQ83&lt;45,AS83+AT83*AQ83/45,1)</f>
        <v>1</v>
      </c>
      <c r="AV83" s="43">
        <f>IF(AG83="LVL",1.5*COS(RADIANS(AJ83))^2+SIN(RADIANS(AJ83))^2,1)</f>
        <v>1</v>
      </c>
      <c r="AW83" s="43">
        <f>IF(AG83="LVL",15,11.7)</f>
        <v>11.7</v>
      </c>
      <c r="AX83" s="46">
        <f>MIN(AO83,AU83*AW83*AK83*MIN(AM83,AL83-BD83)*(AP83/(IF(AG83="LVL",500,350)))^0.8/AV83)</f>
        <v>3030.4788095992858</v>
      </c>
      <c r="AY83" s="46">
        <f>AR83*(AL83-BD83)*AK83</f>
        <v>4675.1421710569693</v>
      </c>
      <c r="AZ83" s="46">
        <f>AR83*(AL83-BD83)*AK83*(SQRT(2+(4*AN83)/(AR83*AK83*(AL83-BD83)^2))-1)+MIN(AR83*(AL83-BD83)*AK83*(SQRT(2+(4*AN83)/(AR83*AK83*(AL83-BD83)^2))-1),MIN(AO83,AX83)/4)</f>
        <v>2851.851479742958</v>
      </c>
      <c r="BA83" s="46">
        <f>2.3*SQRT(AN83*AR83*AK83)+MIN(2.3*SQRT(AN83*AR83*AK83),MIN(AO83,AX83)/4)</f>
        <v>2428.2950467233968</v>
      </c>
      <c r="BB83" s="46">
        <f>MIN(AY83,AZ83,BA83)</f>
        <v>2428.2950467233968</v>
      </c>
      <c r="BC83" s="46">
        <f>AI83*BB83</f>
        <v>4856.5900934467936</v>
      </c>
      <c r="BD83" s="45">
        <f>VLOOKUP(VLOOKUP(C83,Data!$AA$4:$AD$24,4,FALSE),Data!$Q$85:$R$96,2,FALSE)</f>
        <v>12</v>
      </c>
      <c r="BE83" s="46"/>
      <c r="BF83" s="47">
        <f>IF(AH83='LOCK-T'!AB165,,MIN(AF85,BC83)/1000)</f>
        <v>4.856590093446794</v>
      </c>
    </row>
    <row r="84" spans="3:64" ht="51.95" customHeight="1" thickBot="1" x14ac:dyDescent="0.25">
      <c r="Z84" s="120" t="s">
        <v>242</v>
      </c>
      <c r="AF84" s="109" t="s">
        <v>172</v>
      </c>
      <c r="AI84">
        <f>VLOOKUP(VLOOKUP(C83,Data!$AA$4:$AD$24,4,FALSE),Data!$I$4:$U$15,6,FALSE)</f>
        <v>1</v>
      </c>
      <c r="AQ84" t="s">
        <v>234</v>
      </c>
      <c r="BC84">
        <f>(AI83^0.85)*BB83</f>
        <v>4377.0040684300975</v>
      </c>
      <c r="BK84" t="s">
        <v>386</v>
      </c>
      <c r="BL84" t="s">
        <v>387</v>
      </c>
    </row>
    <row r="85" spans="3:64" ht="14.25" x14ac:dyDescent="0.2">
      <c r="H85" s="73">
        <f>H83</f>
        <v>8</v>
      </c>
      <c r="I85" s="76" t="str">
        <f t="shared" ref="I85:Y85" si="1">I83</f>
        <v>GL22h</v>
      </c>
      <c r="J85" s="76" t="str">
        <f t="shared" si="1"/>
        <v>LBS Ø 7 x 80</v>
      </c>
      <c r="K85" s="73">
        <f t="shared" si="1"/>
        <v>36</v>
      </c>
      <c r="L85" s="73">
        <f t="shared" si="1"/>
        <v>7</v>
      </c>
      <c r="M85" s="73">
        <f t="shared" si="1"/>
        <v>80</v>
      </c>
      <c r="N85" s="73">
        <f t="shared" si="1"/>
        <v>75</v>
      </c>
      <c r="O85" s="76">
        <f t="shared" si="1"/>
        <v>14174</v>
      </c>
      <c r="P85" s="73">
        <f t="shared" si="1"/>
        <v>19200</v>
      </c>
      <c r="Q85" s="73">
        <f t="shared" si="1"/>
        <v>370</v>
      </c>
      <c r="R85" s="73">
        <f>M90</f>
        <v>0</v>
      </c>
      <c r="S85" s="160">
        <f t="shared" si="1"/>
        <v>6.7693373198801936</v>
      </c>
      <c r="T85" s="160">
        <f t="shared" si="1"/>
        <v>0.3</v>
      </c>
      <c r="U85" s="160">
        <f t="shared" si="1"/>
        <v>0.7</v>
      </c>
      <c r="V85" s="45">
        <f>IF(R85&lt;45,T85+U85*R85/45,1)</f>
        <v>0.3</v>
      </c>
      <c r="W85" s="73">
        <f t="shared" si="1"/>
        <v>0</v>
      </c>
      <c r="X85" s="73">
        <f t="shared" si="1"/>
        <v>1</v>
      </c>
      <c r="Y85" s="76">
        <f t="shared" si="1"/>
        <v>11.7</v>
      </c>
      <c r="Z85" s="46">
        <f>IF(I85="CLT",20*L85^(0.8)*MIN(N85,M85-H85)^(0.9),V85*Y85*L85*MIN(N85,(M85-H85))*(Q85/(IF(I85="LVL",500,350)))^(0.8)/X85)</f>
        <v>1849.4585257983201</v>
      </c>
      <c r="AA85" s="46"/>
      <c r="AB85" s="46"/>
      <c r="AC85" s="46"/>
      <c r="AD85" s="45"/>
      <c r="AE85" s="45"/>
      <c r="AF85" s="46">
        <f>(AD83*AC83)/SQRT(1+(((AD83*AC83)/(AE83*Z85))^2))</f>
        <v>22420.742270933624</v>
      </c>
      <c r="AQ85" t="s">
        <v>235</v>
      </c>
      <c r="BJ85" t="s">
        <v>385</v>
      </c>
      <c r="BK85">
        <v>1</v>
      </c>
      <c r="BL85">
        <v>1</v>
      </c>
    </row>
    <row r="86" spans="3:64" x14ac:dyDescent="0.2">
      <c r="AX86" s="177" t="s">
        <v>243</v>
      </c>
      <c r="BJ86" t="s">
        <v>382</v>
      </c>
      <c r="BK86">
        <v>0.85</v>
      </c>
      <c r="BL86">
        <v>0.85</v>
      </c>
    </row>
    <row r="87" spans="3:64" x14ac:dyDescent="0.2">
      <c r="BJ87" t="s">
        <v>383</v>
      </c>
      <c r="BK87">
        <v>0.7</v>
      </c>
      <c r="BL87">
        <v>0.7</v>
      </c>
    </row>
    <row r="88" spans="3:64" ht="15" x14ac:dyDescent="0.2">
      <c r="I88" s="441" t="s">
        <v>250</v>
      </c>
      <c r="J88" s="441"/>
      <c r="K88" s="441"/>
      <c r="L88" s="441"/>
      <c r="AG88" s="441" t="s">
        <v>250</v>
      </c>
      <c r="AH88" s="441"/>
      <c r="AI88" s="441"/>
      <c r="AJ88" s="441"/>
      <c r="AL88" s="181"/>
      <c r="AM88" s="181"/>
      <c r="AN88" s="181"/>
      <c r="AO88" s="181"/>
      <c r="AP88" s="181"/>
      <c r="AQ88" s="181"/>
      <c r="AR88" s="181"/>
      <c r="AS88" s="181"/>
      <c r="AT88" s="181"/>
      <c r="AU88" s="181"/>
      <c r="AV88" s="181"/>
      <c r="AW88" s="181"/>
      <c r="AX88" s="181"/>
      <c r="AY88" s="181"/>
      <c r="AZ88" s="181"/>
      <c r="BA88" s="181"/>
      <c r="BB88" s="181"/>
      <c r="BC88" s="181"/>
      <c r="BD88" s="181"/>
      <c r="BE88" s="142"/>
      <c r="BF88" s="142"/>
      <c r="BJ88" t="s">
        <v>384</v>
      </c>
      <c r="BK88" s="74" t="s">
        <v>4</v>
      </c>
      <c r="BL88">
        <v>0.5</v>
      </c>
    </row>
    <row r="89" spans="3:64" ht="29.25" thickBot="1" x14ac:dyDescent="0.25">
      <c r="J89" t="s">
        <v>249</v>
      </c>
      <c r="K89" t="s">
        <v>248</v>
      </c>
      <c r="M89" s="53" t="s">
        <v>110</v>
      </c>
      <c r="AH89" t="s">
        <v>249</v>
      </c>
      <c r="AI89" t="s">
        <v>248</v>
      </c>
      <c r="AK89" s="53" t="s">
        <v>110</v>
      </c>
      <c r="AL89" s="143"/>
      <c r="AM89" s="143"/>
      <c r="AN89" s="143"/>
      <c r="AO89" s="143"/>
      <c r="AP89" s="143"/>
      <c r="AQ89" s="143"/>
      <c r="AR89" s="143"/>
      <c r="AS89" s="143"/>
      <c r="AT89" s="143"/>
      <c r="AU89" s="143"/>
      <c r="AV89" s="143"/>
      <c r="AW89" s="143"/>
      <c r="AX89" s="143"/>
      <c r="AY89" s="143"/>
      <c r="AZ89" s="143"/>
      <c r="BA89" s="143"/>
      <c r="BB89" s="143"/>
      <c r="BC89" s="143"/>
      <c r="BD89" s="143"/>
      <c r="BE89" s="143"/>
      <c r="BF89" s="143"/>
    </row>
    <row r="90" spans="3:64" ht="14.25" x14ac:dyDescent="0.2">
      <c r="I90" t="s">
        <v>247</v>
      </c>
      <c r="J90">
        <f>0.082*Q83*L83^(-0.3)/((2.5*COS(RADIANS(M90))^2+SIN(RADIANS(M90))^2))</f>
        <v>6.7693373198801936</v>
      </c>
      <c r="K90">
        <f>0.082*Q83*(1-0.01*L83)/((2.5*COS(RADIANS(M90))^2+SIN(RADIANS(M90))^2))</f>
        <v>11.286479999999999</v>
      </c>
      <c r="M90" s="43">
        <f>ABS('LOCK-T'!H86)</f>
        <v>0</v>
      </c>
      <c r="AG90" t="s">
        <v>247</v>
      </c>
      <c r="AH90">
        <f>0.082*AP83*AK83^(-0.3)/((2.5*COS(RADIANS(AK90))^2+SIN(RADIANS(AK90))^2))</f>
        <v>19.479759046070704</v>
      </c>
      <c r="AI90">
        <f>0.082*AP83*(1-0.01*AK83)/((2.5*COS(RADIANS(AK90))^2+SIN(RADIANS(AK90))^2))</f>
        <v>29.991499999999998</v>
      </c>
      <c r="AK90" s="43">
        <f>AQ83</f>
        <v>90</v>
      </c>
      <c r="AL90" s="100"/>
      <c r="AM90" s="100"/>
      <c r="AN90" s="100"/>
      <c r="AO90" s="100"/>
      <c r="AP90" s="100"/>
      <c r="AQ90" s="100"/>
      <c r="AR90" s="144"/>
      <c r="AS90" s="144"/>
      <c r="AT90" s="144"/>
      <c r="AU90" s="145"/>
      <c r="AV90" s="100"/>
      <c r="AW90" s="100"/>
      <c r="AX90" s="146"/>
      <c r="AY90" s="146"/>
      <c r="AZ90" s="146"/>
      <c r="BA90" s="146"/>
      <c r="BB90" s="146"/>
      <c r="BC90" s="144"/>
      <c r="BD90" s="146"/>
      <c r="BE90" s="146"/>
      <c r="BF90" s="137"/>
    </row>
    <row r="92" spans="3:64" x14ac:dyDescent="0.2">
      <c r="I92" t="s">
        <v>2</v>
      </c>
      <c r="J92">
        <f>0.082*Q83*L83^(-0.3)/((2.5*COS(RADIANS(M90))^2+SIN(RADIANS(M90))^2)*(1.5*COS(RADIANS(W83))^2+SIN(RADIANS(W83))^2))</f>
        <v>4.512891546586796</v>
      </c>
      <c r="K92">
        <f>0.082*Q83*(1-0.01*L83)/((2.5*COS(RADIANS(M90))^2+SIN(RADIANS(M90))^2)*(1.5*COS(RADIANS(W83))^2+SIN(RADIANS(W83))^2))</f>
        <v>7.5243199999999995</v>
      </c>
      <c r="AG92" t="s">
        <v>2</v>
      </c>
      <c r="AH92">
        <f>0.082*AP83*AK83^(-0.3)/((2.5*COS(RADIANS(AK90))^2+SIN(RADIANS(AK90))^2)*(1.5*COS(RADIANS(AJ83))^2+SIN(RADIANS(AJ83))^2))</f>
        <v>12.986506030713803</v>
      </c>
      <c r="AI92">
        <f>0.082*AP83*(1-0.01*AK83)/((2.5*COS(RADIANS(AK90))^2+SIN(RADIANS(AK90))^2)*(1.5*COS(RADIANS(AJ83))^2+SIN(RADIANS(AJ83))^2))</f>
        <v>19.994333333333334</v>
      </c>
    </row>
    <row r="94" spans="3:64" x14ac:dyDescent="0.2">
      <c r="I94" t="s">
        <v>6</v>
      </c>
      <c r="J94">
        <f>IF(M90=0,20*L83^(-0.5),0.082*Q83*L83^(-0.3)/((2.5*COS(RADIANS(M90))^2+SIN(RADIANS(M90))^2)))</f>
        <v>7.5592894601845444</v>
      </c>
      <c r="AG94" t="s">
        <v>6</v>
      </c>
      <c r="AH94">
        <f>IF(AK90=0,20*AK83^(-0.5),0.082*AP83*AK83^(-0.3)/((2.5*COS(RADIANS(AK90))^2+SIN(RADIANS(AK90))^2)))</f>
        <v>19.479759046070704</v>
      </c>
    </row>
    <row r="104" spans="3:59" ht="13.5" thickBot="1" x14ac:dyDescent="0.25"/>
    <row r="105" spans="3:59" ht="45" customHeight="1" x14ac:dyDescent="0.2">
      <c r="C105" s="437" t="s">
        <v>86</v>
      </c>
      <c r="D105" s="438"/>
      <c r="E105" s="438"/>
      <c r="F105" s="438"/>
      <c r="G105" s="438"/>
      <c r="H105" s="438"/>
      <c r="I105" s="451" t="s">
        <v>87</v>
      </c>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3"/>
      <c r="AG105" s="440" t="s">
        <v>88</v>
      </c>
      <c r="AH105" s="440"/>
      <c r="AI105" s="440"/>
      <c r="AJ105" s="440"/>
      <c r="AK105" s="440"/>
      <c r="AL105" s="440"/>
      <c r="AM105" s="440"/>
      <c r="AN105" s="440"/>
      <c r="AO105" s="440"/>
      <c r="AP105" s="440"/>
      <c r="AQ105" s="440"/>
      <c r="AR105" s="440"/>
      <c r="AS105" s="440"/>
      <c r="AT105" s="440"/>
      <c r="AU105" s="440"/>
      <c r="AV105" s="440"/>
      <c r="AW105" s="440"/>
      <c r="AX105" s="440"/>
      <c r="AY105" s="440"/>
      <c r="AZ105" s="440"/>
      <c r="BA105" s="440"/>
      <c r="BB105" s="440"/>
      <c r="BC105" s="440"/>
      <c r="BD105" s="440"/>
      <c r="BE105" s="449" t="s">
        <v>211</v>
      </c>
      <c r="BF105" s="450"/>
      <c r="BG105" s="49" t="s">
        <v>7</v>
      </c>
    </row>
    <row r="106" spans="3:59" ht="46.5" thickBot="1" x14ac:dyDescent="0.25">
      <c r="C106" s="50" t="s">
        <v>90</v>
      </c>
      <c r="D106" s="51" t="s">
        <v>91</v>
      </c>
      <c r="E106" s="52" t="s">
        <v>92</v>
      </c>
      <c r="F106" s="51" t="s">
        <v>51</v>
      </c>
      <c r="G106" s="51" t="s">
        <v>93</v>
      </c>
      <c r="H106" s="51" t="s">
        <v>94</v>
      </c>
      <c r="I106" s="53" t="s">
        <v>95</v>
      </c>
      <c r="J106" s="53" t="s">
        <v>96</v>
      </c>
      <c r="K106" s="53" t="s">
        <v>97</v>
      </c>
      <c r="L106" s="53" t="s">
        <v>98</v>
      </c>
      <c r="M106" s="53" t="s">
        <v>99</v>
      </c>
      <c r="N106" s="53" t="s">
        <v>100</v>
      </c>
      <c r="O106" s="53" t="s">
        <v>196</v>
      </c>
      <c r="P106" s="53" t="s">
        <v>197</v>
      </c>
      <c r="Q106" s="53" t="s">
        <v>198</v>
      </c>
      <c r="R106" s="53" t="s">
        <v>110</v>
      </c>
      <c r="S106" s="53" t="s">
        <v>199</v>
      </c>
      <c r="T106" s="53" t="s">
        <v>111</v>
      </c>
      <c r="U106" s="53" t="s">
        <v>112</v>
      </c>
      <c r="V106" s="53" t="s">
        <v>200</v>
      </c>
      <c r="W106" s="53" t="s">
        <v>123</v>
      </c>
      <c r="X106" s="53" t="s">
        <v>201</v>
      </c>
      <c r="Y106" s="53" t="s">
        <v>202</v>
      </c>
      <c r="Z106" s="120" t="s">
        <v>241</v>
      </c>
      <c r="AA106" s="53" t="s">
        <v>203</v>
      </c>
      <c r="AB106" s="53" t="s">
        <v>204</v>
      </c>
      <c r="AC106" s="53" t="s">
        <v>205</v>
      </c>
      <c r="AD106" s="53" t="s">
        <v>173</v>
      </c>
      <c r="AE106" s="53" t="s">
        <v>174</v>
      </c>
      <c r="AF106" s="141" t="s">
        <v>206</v>
      </c>
      <c r="AG106" s="28" t="s">
        <v>95</v>
      </c>
      <c r="AH106" s="28" t="s">
        <v>96</v>
      </c>
      <c r="AI106" s="28" t="s">
        <v>97</v>
      </c>
      <c r="AJ106" s="28" t="s">
        <v>123</v>
      </c>
      <c r="AK106" s="28" t="s">
        <v>98</v>
      </c>
      <c r="AL106" s="28" t="s">
        <v>99</v>
      </c>
      <c r="AM106" s="28" t="s">
        <v>100</v>
      </c>
      <c r="AN106" s="28" t="s">
        <v>196</v>
      </c>
      <c r="AO106" s="28" t="s">
        <v>197</v>
      </c>
      <c r="AP106" s="28" t="s">
        <v>198</v>
      </c>
      <c r="AQ106" s="28" t="s">
        <v>110</v>
      </c>
      <c r="AR106" s="28" t="s">
        <v>199</v>
      </c>
      <c r="AS106" s="28" t="s">
        <v>111</v>
      </c>
      <c r="AT106" s="28" t="s">
        <v>112</v>
      </c>
      <c r="AU106" s="28" t="s">
        <v>200</v>
      </c>
      <c r="AV106" s="28" t="s">
        <v>201</v>
      </c>
      <c r="AW106" s="28" t="s">
        <v>202</v>
      </c>
      <c r="AX106" s="28" t="s">
        <v>207</v>
      </c>
      <c r="AY106" s="28" t="s">
        <v>203</v>
      </c>
      <c r="AZ106" s="28" t="s">
        <v>204</v>
      </c>
      <c r="BA106" s="28" t="s">
        <v>208</v>
      </c>
      <c r="BB106" s="28" t="s">
        <v>173</v>
      </c>
      <c r="BC106" s="28" t="s">
        <v>174</v>
      </c>
      <c r="BD106" s="141" t="s">
        <v>209</v>
      </c>
      <c r="BE106" s="51" t="s">
        <v>214</v>
      </c>
      <c r="BF106" s="51" t="s">
        <v>212</v>
      </c>
      <c r="BG106" s="54" t="s">
        <v>210</v>
      </c>
    </row>
    <row r="107" spans="3:59" ht="51.95" customHeight="1" thickBot="1" x14ac:dyDescent="0.25">
      <c r="C107" s="42" t="str">
        <f>'LOCK-T'!H97</f>
        <v>LOCK-T 100 290</v>
      </c>
      <c r="D107" s="127">
        <f>VLOOKUP(VLOOKUP(C107,Data!$AA$4:$AD$24,4,FALSE),Data!$I$4:$S$15,2,FALSE)</f>
        <v>290</v>
      </c>
      <c r="E107" s="43">
        <f>IF(OR(C107="Lock-T 80",C107="Lock-T 100",C107="Lock-T 120"),17.5,25)</f>
        <v>25</v>
      </c>
      <c r="F107" s="42">
        <f>VLOOKUP(C107,Data!$AA$4:$AF$24,6,FALSE)</f>
        <v>4</v>
      </c>
      <c r="G107" s="43">
        <f>E107*F107</f>
        <v>100</v>
      </c>
      <c r="H107" s="43">
        <f>VLOOKUP(C6,Data!$AA$4:$AH$24,8,FALSE)</f>
        <v>8</v>
      </c>
      <c r="I107" s="42" t="str">
        <f>'LOCK-T'!H85</f>
        <v>GL22h</v>
      </c>
      <c r="J107" s="42" t="str">
        <f>'LOCK-T'!H124</f>
        <v>LBS Ø 7 x 80</v>
      </c>
      <c r="K107" s="43">
        <f>VLOOKUP(VLOOKUP(C107,Data!$AA$4:$AD$24,4,FALSE),Data!$I$4:$S$15,5,FALSE)*F107</f>
        <v>36</v>
      </c>
      <c r="L107" s="43">
        <f>VLOOKUP(J107,Screws!$C$6:$J$34,3,FALSE)</f>
        <v>7</v>
      </c>
      <c r="M107" s="43">
        <f>VLOOKUP(J107,Screws!$C$6:$J$34,5,FALSE)</f>
        <v>80</v>
      </c>
      <c r="N107" s="43">
        <f>VLOOKUP(J107,Screws!$C$6:$J$34,6,FALSE)</f>
        <v>75</v>
      </c>
      <c r="O107" s="43">
        <f>VLOOKUP(J107,Screws!$C$6:$J$34,7,FALSE)</f>
        <v>14174</v>
      </c>
      <c r="P107" s="43">
        <f>VLOOKUP(J107,Screws!$C$6:$J$34,8,FALSE)</f>
        <v>19200</v>
      </c>
      <c r="Q107" s="43">
        <f>VLOOKUP(I107,Data!$B$4:$C$36,2,FALSE)</f>
        <v>370</v>
      </c>
      <c r="R107" s="43">
        <f>IF(M114&lt;&gt;0,M114,90)</f>
        <v>90</v>
      </c>
      <c r="S107" s="179">
        <f>IF(I107="LVL",K116,IF(I107="CLT",J118,IF(Q107&gt;420,K114,J114)))</f>
        <v>6.7693373198801936</v>
      </c>
      <c r="T107" s="44">
        <f>IF(I107="LVL",0.5,0.3)</f>
        <v>0.3</v>
      </c>
      <c r="U107" s="44">
        <f>IF(I107="LVL",0.5,0.7)</f>
        <v>0.7</v>
      </c>
      <c r="V107" s="45">
        <f>IF(R107&lt;45,T107+U107*R107/45,1)</f>
        <v>1</v>
      </c>
      <c r="W107" s="43">
        <v>0</v>
      </c>
      <c r="X107" s="43">
        <f>IF(I107="LVL",1.5*COS(RADIANS(W107))^2+SIN(RADIANS(W107))^2,1)</f>
        <v>1</v>
      </c>
      <c r="Y107" s="43">
        <f>IF(I107="LVL",15,11.7)</f>
        <v>11.7</v>
      </c>
      <c r="Z107" s="46">
        <f>IF(I107="CLT",20*L107^(0.8)*MIN(N107,M107-H107)^(0.9),V107*Y107*L107*MIN(N107,(M107-H107))*(Q107/(IF(I107="LVL",500,350)))^(0.8)/X107)</f>
        <v>6164.8617526610669</v>
      </c>
      <c r="AA107" s="46">
        <f>0.4*S107*(M107-H107)*L107+MIN(0.4*S107*(M107-H107)*L107,IF(I107="CLT",1,IF(M114=0,5/6,1))*MIN(P107,Z107)/4)</f>
        <v>2649.0446021589028</v>
      </c>
      <c r="AB107" s="46">
        <f>1.15*SQRT(2*O107*S107*L107)+MIN(1.15*SQRT(2*O107*S107*L107),IF(I107="CLT",1,IF(M114=0,5/6,1))*MIN(P107,Z107)/4)</f>
        <v>2617.1958117017621</v>
      </c>
      <c r="AC107" s="46">
        <f>MIN(AA107,AB107)</f>
        <v>2617.1958117017621</v>
      </c>
      <c r="AD107" s="45">
        <f>INDEX(Data!$I$103:$O$114,MATCH(VLOOKUP(C107,Data!$AA$4:$AD$24,4,FALSE),Data!$I$103:$I$114,0),MATCH(F107,Data!$I$103:$O$103,0))</f>
        <v>12.6</v>
      </c>
      <c r="AE107" s="45">
        <f>INDEX(Data!$I$117:$O$128,MATCH(VLOOKUP(C107,Data!$AA$4:$AD$24,4,FALSE),Data!$I$117:$I$128,0),MATCH(F107,Data!$I$117:$O$117,0))</f>
        <v>61</v>
      </c>
      <c r="AF107" s="148"/>
      <c r="AG107" s="42" t="str">
        <f>'LOCK-T'!H71</f>
        <v>GL24h</v>
      </c>
      <c r="AH107" s="42" t="str">
        <f>'LOCK-T'!H111</f>
        <v>LBS Ø 7 x 80</v>
      </c>
      <c r="AI107" s="43">
        <f>VLOOKUP(VLOOKUP(C107,Data!$AA$4:$AD$24,4,FALSE),Data!$I$4:$S$15,5,FALSE)*F107</f>
        <v>36</v>
      </c>
      <c r="AJ107" s="42">
        <v>0</v>
      </c>
      <c r="AK107" s="43">
        <f>VLOOKUP(AH107,Screws!$C$6:$J$34,3,FALSE)</f>
        <v>7</v>
      </c>
      <c r="AL107" s="43">
        <f>VLOOKUP(AH107,Screws!$C$6:$J$34,5,FALSE)</f>
        <v>80</v>
      </c>
      <c r="AM107" s="43">
        <f>VLOOKUP(AH107,Screws!$C$6:$J$34,6,FALSE)</f>
        <v>75</v>
      </c>
      <c r="AN107" s="43">
        <f>VLOOKUP(AH107,Screws!$C$6:$J$34,7,FALSE)</f>
        <v>14174</v>
      </c>
      <c r="AO107" s="43">
        <f>VLOOKUP(AH107,Screws!$C$6:$J$34,8,FALSE)</f>
        <v>19200</v>
      </c>
      <c r="AP107" s="43">
        <f>VLOOKUP(AG107,Data!$B$4:$C$36,2,FALSE)</f>
        <v>385</v>
      </c>
      <c r="AQ107" s="43">
        <v>90</v>
      </c>
      <c r="AR107" s="44">
        <f>IF('LOCK-T'!H72='LOCK-T'!AA54,IF(AG107="LVL",AI116,IF(AP107&gt;420,AI114,AI114)),IF(AG107="LVL",AI116,IF(AG107="CLT",AH118,IF(AP107&gt;420,AI114,AH114))))</f>
        <v>17.609424784823478</v>
      </c>
      <c r="AS107" s="44">
        <f>IF(AG107="LVL",0.5,0.3)</f>
        <v>0.3</v>
      </c>
      <c r="AT107" s="44">
        <f>IF(AG107="LVL",0.5,0.7)</f>
        <v>0.7</v>
      </c>
      <c r="AU107" s="45">
        <f>IF(AQ107&lt;45,AS107+AT107*AQ107/45,1)</f>
        <v>1</v>
      </c>
      <c r="AV107" s="43">
        <f>IF(AG107="LVL",1.5*COS(RADIANS(AJ107))^2+SIN(RADIANS(AJ107))^2,1)</f>
        <v>1</v>
      </c>
      <c r="AW107" s="43">
        <f>IF(AG107="LVL",15,11.7)</f>
        <v>11.7</v>
      </c>
      <c r="AX107" s="46">
        <f>AU107*AW107*AK107*MIN(AM107,AL107-H107)*(AP107/(IF(AG107="LVL",500,350)))^0.8/AV107</f>
        <v>6364.0055001584997</v>
      </c>
      <c r="AY107" s="46">
        <f>0.4*AR107*(AL107-H107)*AK107+MIN(AX107,AO107)/4</f>
        <v>5141.0614116600382</v>
      </c>
      <c r="AZ107" s="46">
        <f>1.15*SQRT(2*AN107*AR107*AK107)+MIN(1.15*SQRT(2*AN107*AR107*AK107),MIN(AO107,AX107)/4)</f>
        <v>3740.7152391283153</v>
      </c>
      <c r="BA107" s="46">
        <f>MIN(AY107,AZ107)</f>
        <v>3740.7152391283153</v>
      </c>
      <c r="BB107" s="44">
        <f>INDEX(Data!$I$103:$O$114,MATCH(VLOOKUP(C107,Data!$AA$4:$AD$24,4,FALSE),Data!$I$103:$I$114,0),MATCH(F107,Data!$I$103:$O$103,0))</f>
        <v>12.6</v>
      </c>
      <c r="BC107" s="44">
        <f>INDEX(Data!$I$117:$O$128,MATCH(VLOOKUP(C107,Data!$AA$4:$AD$24,4,FALSE),Data!$I$117:$I$128,0),MATCH(F107,Data!$I$117:$O$117,0))</f>
        <v>61</v>
      </c>
      <c r="BD107" s="148">
        <f>(BB107*BA107)/SQRT(1+(((BB107*BA107)/(BC107*AX107))^2))</f>
        <v>46789.410171889809</v>
      </c>
      <c r="BE107" s="46" t="str">
        <f>'LOCK-T'!H138</f>
        <v>2 x LOCKSTOP100</v>
      </c>
      <c r="BF107" s="44">
        <f>VLOOKUP(VLOOKUP(BE107,Data!BA4:BB16,2,FALSE),Data!$I$133:$L$141,4,FALSE)*VLOOKUP(BE107,Data!BA4:BC16,3,FALSE)</f>
        <v>1554</v>
      </c>
      <c r="BG107" s="47">
        <f>MIN(AF107,BD107,BF107)/1000</f>
        <v>1.554</v>
      </c>
    </row>
    <row r="108" spans="3:59" ht="46.5" thickBot="1" x14ac:dyDescent="0.25">
      <c r="Z108" s="120" t="s">
        <v>242</v>
      </c>
      <c r="AF108" s="109" t="s">
        <v>244</v>
      </c>
    </row>
    <row r="109" spans="3:59" ht="14.25" x14ac:dyDescent="0.2">
      <c r="H109" s="73">
        <f>H107</f>
        <v>8</v>
      </c>
      <c r="I109" s="76" t="str">
        <f t="shared" ref="I109:Q109" si="2">I107</f>
        <v>GL22h</v>
      </c>
      <c r="J109" s="76" t="str">
        <f t="shared" si="2"/>
        <v>LBS Ø 7 x 80</v>
      </c>
      <c r="K109" s="73">
        <f t="shared" si="2"/>
        <v>36</v>
      </c>
      <c r="L109" s="73">
        <f t="shared" si="2"/>
        <v>7</v>
      </c>
      <c r="M109" s="73">
        <f t="shared" si="2"/>
        <v>80</v>
      </c>
      <c r="N109" s="73">
        <f t="shared" si="2"/>
        <v>75</v>
      </c>
      <c r="O109" s="76">
        <f t="shared" si="2"/>
        <v>14174</v>
      </c>
      <c r="P109" s="73">
        <f t="shared" si="2"/>
        <v>19200</v>
      </c>
      <c r="Q109" s="73">
        <f t="shared" si="2"/>
        <v>370</v>
      </c>
      <c r="R109" s="73">
        <f>ABS('LOCK-T'!H86)</f>
        <v>0</v>
      </c>
      <c r="S109" s="160">
        <f t="shared" ref="S109:U109" si="3">S107</f>
        <v>6.7693373198801936</v>
      </c>
      <c r="T109" s="160">
        <f t="shared" si="3"/>
        <v>0.3</v>
      </c>
      <c r="U109" s="160">
        <f t="shared" si="3"/>
        <v>0.7</v>
      </c>
      <c r="V109" s="45">
        <f>IF(R109&lt;45,T109+U109*R109/45,1)</f>
        <v>0.3</v>
      </c>
      <c r="W109" s="73">
        <f t="shared" ref="W109:Y109" si="4">W107</f>
        <v>0</v>
      </c>
      <c r="X109" s="73">
        <f t="shared" si="4"/>
        <v>1</v>
      </c>
      <c r="Y109" s="76">
        <f t="shared" si="4"/>
        <v>11.7</v>
      </c>
      <c r="Z109" s="46">
        <f>IF(I109="CLT",20*L109^(0.8)*MIN(N109,M109-H109)^(0.9),V109*Y109*L109*MIN(N109,(M109-H109))*(Q109/(IF(I109="LVL",500,350)))^(0.8)/X109)</f>
        <v>1849.4585257983201</v>
      </c>
      <c r="AA109" s="46"/>
      <c r="AB109" s="46"/>
      <c r="AC109" s="46"/>
      <c r="AD109" s="45"/>
      <c r="AE109" s="45"/>
      <c r="AF109" s="46">
        <f>(AD107*AC107)/SQRT(1+(((AD107*AC107)/(AE107*Z109))^2))</f>
        <v>31652.186512610326</v>
      </c>
    </row>
    <row r="112" spans="3:59" x14ac:dyDescent="0.2">
      <c r="I112" s="441" t="s">
        <v>250</v>
      </c>
      <c r="J112" s="441"/>
      <c r="K112" s="441"/>
      <c r="L112" s="441"/>
      <c r="AG112" s="441" t="s">
        <v>250</v>
      </c>
      <c r="AH112" s="441"/>
      <c r="AI112" s="441"/>
      <c r="AJ112" s="441"/>
    </row>
    <row r="113" spans="9:37" ht="29.25" thickBot="1" x14ac:dyDescent="0.25">
      <c r="J113" t="s">
        <v>249</v>
      </c>
      <c r="K113" t="s">
        <v>248</v>
      </c>
      <c r="M113" s="53" t="s">
        <v>110</v>
      </c>
      <c r="AH113" t="s">
        <v>249</v>
      </c>
      <c r="AI113" t="s">
        <v>248</v>
      </c>
      <c r="AK113" s="53" t="s">
        <v>110</v>
      </c>
    </row>
    <row r="114" spans="9:37" ht="14.25" x14ac:dyDescent="0.2">
      <c r="I114" t="s">
        <v>247</v>
      </c>
      <c r="J114">
        <f>0.082*Q107*L107^(-0.3)/((2.5*COS(RADIANS(M114))^2+SIN(RADIANS(M114))^2))</f>
        <v>6.7693373198801936</v>
      </c>
      <c r="K114">
        <f>0.082*Q107*(1-0.01*L107)/((2.5*COS(RADIANS(M114))^2+SIN(RADIANS(M114))^2))</f>
        <v>11.286479999999999</v>
      </c>
      <c r="M114" s="43">
        <f>ABS('LOCK-T'!H86)</f>
        <v>0</v>
      </c>
      <c r="AG114" t="s">
        <v>247</v>
      </c>
      <c r="AH114">
        <f>0.082*AP107*AK107^(-0.3)/((2.5*COS(RADIANS(AK114))^2+SIN(RADIANS(AK114))^2))</f>
        <v>17.609424784823478</v>
      </c>
      <c r="AI114">
        <f>0.082*AP107*(1-0.01*AK107)/((2.5*COS(RADIANS(AK114))^2+SIN(RADIANS(AK114))^2))</f>
        <v>29.360099999999999</v>
      </c>
      <c r="AK114" s="43">
        <v>90</v>
      </c>
    </row>
    <row r="116" spans="9:37" x14ac:dyDescent="0.2">
      <c r="I116" t="s">
        <v>2</v>
      </c>
      <c r="J116">
        <f>0.082*Q107*L107^(-0.3)/((2.5*COS(RADIANS(M114))^2+SIN(RADIANS(M114))^2)*(1.5*COS(RADIANS(W107))^2+SIN(RADIANS(W107))^2))</f>
        <v>4.512891546586796</v>
      </c>
      <c r="K116">
        <f>0.082*Q107*(1-0.01*L107)/((2.5*COS(RADIANS(M114))^2+SIN(RADIANS(M114))^2)*(1.5*COS(RADIANS(W107))^2+SIN(RADIANS(W107))^2))</f>
        <v>7.5243199999999995</v>
      </c>
      <c r="AG116" t="s">
        <v>2</v>
      </c>
      <c r="AH116">
        <f>0.082*AP107*AK107^(-0.3)/((2.5*COS(RADIANS(AK114))^2+SIN(RADIANS(AK114))^2)*(1.5*COS(RADIANS(AJ107))^2+SIN(RADIANS(AJ107))^2))</f>
        <v>11.739616523215652</v>
      </c>
      <c r="AI116">
        <f>0.082*AP107*(1-0.01*AK107)/((2.5*COS(RADIANS(AK114))^2+SIN(RADIANS(AK114))^2)*(1.5*COS(RADIANS(AJ107))^2+SIN(RADIANS(AJ107))^2))</f>
        <v>19.573399999999999</v>
      </c>
    </row>
    <row r="118" spans="9:37" x14ac:dyDescent="0.2">
      <c r="I118" t="s">
        <v>6</v>
      </c>
      <c r="J118">
        <f>IF(M114=0,20*L107^(-0.5),0.082*Q107*L107^(-0.3)/((2.5*COS(RADIANS(M114))^2+SIN(RADIANS(M114))^2)))</f>
        <v>7.5592894601845444</v>
      </c>
      <c r="AG118" t="s">
        <v>6</v>
      </c>
      <c r="AH118">
        <f>IF(AK114=0,20*AK107^(-0.5),0.082*AP107*AK107^(-0.3)/((2.5*COS(RADIANS(AK114))^2+SIN(RADIANS(AK114))^2)))</f>
        <v>17.609424784823478</v>
      </c>
    </row>
  </sheetData>
  <sheetProtection algorithmName="SHA-512" hashValue="ESiZBpMY0mEwj0MLVF5+tQeV106La6HZSkngPQbd0zlRdDavlSyDCf+SzoDYUU2xl2AtRe3MPaAvrf84PtM2qA==" saltValue="q0bi7nkvEUfpU2oADH/YOQ==" spinCount="100000" sheet="1" objects="1" scenarios="1" selectLockedCells="1"/>
  <mergeCells count="23">
    <mergeCell ref="BE34:BE35"/>
    <mergeCell ref="I37:L37"/>
    <mergeCell ref="BE105:BF105"/>
    <mergeCell ref="C105:H105"/>
    <mergeCell ref="AG105:BD105"/>
    <mergeCell ref="I105:AF105"/>
    <mergeCell ref="I88:L88"/>
    <mergeCell ref="AG88:AJ88"/>
    <mergeCell ref="I112:L112"/>
    <mergeCell ref="AG112:AJ112"/>
    <mergeCell ref="AG30:AY30"/>
    <mergeCell ref="C2:F2"/>
    <mergeCell ref="C4:H4"/>
    <mergeCell ref="I4:AF4"/>
    <mergeCell ref="AG4:AR4"/>
    <mergeCell ref="C30:H30"/>
    <mergeCell ref="I30:AF30"/>
    <mergeCell ref="I11:L11"/>
    <mergeCell ref="AG11:AJ11"/>
    <mergeCell ref="C81:H81"/>
    <mergeCell ref="I81:AF81"/>
    <mergeCell ref="AG81:BD81"/>
    <mergeCell ref="BD34:BD35"/>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55474235-F0CB-4F61-BE0D-9CBBAB9155F5}">
          <x14:formula1>
            <xm:f>Data!$I$4:$I$12</xm:f>
          </x14:formula1>
          <xm:sqref>C6 C32 C83</xm:sqref>
        </x14:dataValidation>
        <x14:dataValidation type="list" allowBlank="1" showInputMessage="1" showErrorMessage="1" xr:uid="{BC141DE6-92E2-450A-8E8B-B08E47A1C6C3}">
          <x14:formula1>
            <xm:f>Data!$W$3:$W$12</xm:f>
          </x14:formula1>
          <xm:sqref>F6 F32 F83 F107</xm:sqref>
        </x14:dataValidation>
        <x14:dataValidation type="list" allowBlank="1" showInputMessage="1" showErrorMessage="1" xr:uid="{A158D799-5390-4312-A524-8C5125211278}">
          <x14:formula1>
            <xm:f>Screws!$C$6:$C$29</xm:f>
          </x14:formula1>
          <xm:sqref>J6 AH6 J32 AH32 J83 AH83</xm:sqref>
        </x14:dataValidation>
        <x14:dataValidation type="list" allowBlank="1" showInputMessage="1" showErrorMessage="1" xr:uid="{9A362B0C-10B4-4427-B013-108BA35207FB}">
          <x14:formula1>
            <xm:f>Data!$B$4:$B$34</xm:f>
          </x14:formula1>
          <xm:sqref>I6 AG6 I32 AG32 I83 AG83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71a907e-b217-416b-8f3e-9f31b26bbae2">
      <Terms xmlns="http://schemas.microsoft.com/office/infopath/2007/PartnerControls"/>
    </lcf76f155ced4ddcb4097134ff3c332f>
    <TaxCatchAll xmlns="4ac9669e-3ecc-4027-9c07-5729b88496e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D5791BAE553E54299A2D7AB66547121" ma:contentTypeVersion="16" ma:contentTypeDescription="Create a new document." ma:contentTypeScope="" ma:versionID="d97370cc2e4de72d0a646453750c17ea">
  <xsd:schema xmlns:xsd="http://www.w3.org/2001/XMLSchema" xmlns:xs="http://www.w3.org/2001/XMLSchema" xmlns:p="http://schemas.microsoft.com/office/2006/metadata/properties" xmlns:ns2="4ac9669e-3ecc-4027-9c07-5729b88496eb" xmlns:ns3="f71a907e-b217-416b-8f3e-9f31b26bbae2" targetNamespace="http://schemas.microsoft.com/office/2006/metadata/properties" ma:root="true" ma:fieldsID="6fa3a286fde44bd167b069caa5f08291" ns2:_="" ns3:_="">
    <xsd:import namespace="4ac9669e-3ecc-4027-9c07-5729b88496eb"/>
    <xsd:import namespace="f71a907e-b217-416b-8f3e-9f31b26bb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c9669e-3ecc-4027-9c07-5729b88496eb" elementFormDefault="qualified">
    <xsd:import namespace="http://schemas.microsoft.com/office/2006/documentManagement/types"/>
    <xsd:import namespace="http://schemas.microsoft.com/office/infopath/2007/PartnerControls"/>
    <xsd:element name="SharedWithDetails" ma:index="8" nillable="true" ma:displayName="Shared With Details" ma:internalName="SharedWithDetails" ma:readOnly="true">
      <xsd:simpleType>
        <xsd:restriction base="dms:Note">
          <xsd:maxLength value="255"/>
        </xsd:restriction>
      </xsd:simpleType>
    </xsd:element>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e8fe4e58-ca6d-4368-9ea0-f36a7ff00c10}" ma:internalName="TaxCatchAll" ma:showField="CatchAllData" ma:web="4ac9669e-3ecc-4027-9c07-5729b8849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71a907e-b217-416b-8f3e-9f31b26b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108ccb5-cea6-4716-bdbd-2f7028708f06"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CD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1191EB-6A54-4585-858E-089B64916200}">
  <ds:schemaRefs>
    <ds:schemaRef ds:uri="http://schemas.microsoft.com/sharepoint/v3/contenttype/forms"/>
  </ds:schemaRefs>
</ds:datastoreItem>
</file>

<file path=customXml/itemProps2.xml><?xml version="1.0" encoding="utf-8"?>
<ds:datastoreItem xmlns:ds="http://schemas.openxmlformats.org/officeDocument/2006/customXml" ds:itemID="{DED1AF96-3D1E-4814-9A31-E6F8EDE17A11}">
  <ds:schemaRefs>
    <ds:schemaRef ds:uri="http://schemas.openxmlformats.org/package/2006/metadata/core-properties"/>
    <ds:schemaRef ds:uri="http://schemas.microsoft.com/office/2006/metadata/properties"/>
    <ds:schemaRef ds:uri="http://schemas.microsoft.com/office/2006/documentManagement/types"/>
    <ds:schemaRef ds:uri="http://purl.org/dc/terms/"/>
    <ds:schemaRef ds:uri="f71a907e-b217-416b-8f3e-9f31b26bbae2"/>
    <ds:schemaRef ds:uri="4ac9669e-3ecc-4027-9c07-5729b88496eb"/>
    <ds:schemaRef ds:uri="http://www.w3.org/XML/1998/namespace"/>
    <ds:schemaRef ds:uri="http://schemas.microsoft.com/office/infopath/2007/PartnerControls"/>
    <ds:schemaRef ds:uri="http://purl.org/dc/dcmitype/"/>
    <ds:schemaRef ds:uri="http://purl.org/dc/elements/1.1/"/>
  </ds:schemaRefs>
</ds:datastoreItem>
</file>

<file path=customXml/itemProps3.xml><?xml version="1.0" encoding="utf-8"?>
<ds:datastoreItem xmlns:ds="http://schemas.openxmlformats.org/officeDocument/2006/customXml" ds:itemID="{E485ED05-15B7-407B-A8D7-08E48FB7A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c9669e-3ecc-4027-9c07-5729b88496eb"/>
    <ds:schemaRef ds:uri="f71a907e-b217-416b-8f3e-9f31b26bba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14</vt:i4>
      </vt:variant>
      <vt:variant>
        <vt:lpstr>Intervalli denominati</vt:lpstr>
      </vt:variant>
      <vt:variant>
        <vt:i4>7</vt:i4>
      </vt:variant>
    </vt:vector>
  </HeadingPairs>
  <TitlesOfParts>
    <vt:vector size="21" baseType="lpstr">
      <vt:lpstr>CONDITIONS</vt:lpstr>
      <vt:lpstr>LOCK-T</vt:lpstr>
      <vt:lpstr>Screws</vt:lpstr>
      <vt:lpstr>Data</vt:lpstr>
      <vt:lpstr>Foglio2</vt:lpstr>
      <vt:lpstr>Translation</vt:lpstr>
      <vt:lpstr>secondo_V_downward</vt:lpstr>
      <vt:lpstr>V_downward</vt:lpstr>
      <vt:lpstr>Lateral</vt:lpstr>
      <vt:lpstr>secondo_Lateral</vt:lpstr>
      <vt:lpstr>Uplift</vt:lpstr>
      <vt:lpstr>secondo_Uplift</vt:lpstr>
      <vt:lpstr>Axial</vt:lpstr>
      <vt:lpstr>secondo_Axial</vt:lpstr>
      <vt:lpstr>Data!Area_stampa</vt:lpstr>
      <vt:lpstr>'LOCK-T'!Area_stampa</vt:lpstr>
      <vt:lpstr>Screws!Area_stampa</vt:lpstr>
      <vt:lpstr>secondo_Lateral!klat</vt:lpstr>
      <vt:lpstr>klat</vt:lpstr>
      <vt:lpstr>secondo_Lateral!nef</vt:lpstr>
      <vt:lpstr>nef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 Greco</dc:creator>
  <cp:keywords/>
  <dc:description/>
  <cp:lastModifiedBy>Marco Greco</cp:lastModifiedBy>
  <cp:revision/>
  <cp:lastPrinted>2023-02-15T16:32:37Z</cp:lastPrinted>
  <dcterms:created xsi:type="dcterms:W3CDTF">2019-12-05T08:58:48Z</dcterms:created>
  <dcterms:modified xsi:type="dcterms:W3CDTF">2024-07-08T11:53:17Z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0x0101003D5791BAE553E54299A2D7AB66547121</vt:lpwstr>
  </property>
  <property fmtid="{D5CDD505-2E9C-101B-9397-08002B2CF9AE}" pid="3" name="Person">
    <vt:lpwstr/>
  </property>
  <property fmtid="{D5CDD505-2E9C-101B-9397-08002B2CF9AE}" pid="4" name="MediaServiceImageTags">
    <vt:lpwstr/>
  </property>
</Properties>
</file>