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codeName="{26A90621-87C4-6C01-FD6A-EE6E7C140903}"/>
  <workbookPr codeName="Questa_cartella_di_lavoro" defaultThemeVersion="166925"/>
  <mc:AlternateContent xmlns:mc="http://schemas.openxmlformats.org/markup-compatibility/2006">
    <mc:Choice Requires="x15">
      <x15ac:absPath xmlns:x15ac="http://schemas.microsoft.com/office/spreadsheetml/2010/11/ac" url="https://rothoblaas.sharepoint.com/sites/dpt-tecd/Shared Documents/15_SOFTWARE/TC FUSION/SW TC FUSION/excel_da_caricare_6lingue/"/>
    </mc:Choice>
  </mc:AlternateContent>
  <xr:revisionPtr revIDLastSave="6" documentId="8_{4B4E3DD7-9819-44D2-931F-D4102FBDCE9B}" xr6:coauthVersionLast="47" xr6:coauthVersionMax="47" xr10:uidLastSave="{E6F31E86-AD10-4042-B679-15DBA1DCEDED}"/>
  <bookViews>
    <workbookView showSheetTabs="0" xWindow="-120" yWindow="-120" windowWidth="29040" windowHeight="15720" activeTab="3" xr2:uid="{FFE1368D-E60A-40B2-B65E-1A0FEB920159}"/>
  </bookViews>
  <sheets>
    <sheet name="ShortReport" sheetId="10" r:id="rId1"/>
    <sheet name="CompleteReport" sheetId="9" r:id="rId2"/>
    <sheet name="CONDITIONS" sheetId="11" r:id="rId3"/>
    <sheet name="GEOMETRY" sheetId="7" r:id="rId4"/>
    <sheet name="CALCOLI STS (slab to slab)" sheetId="1" r:id="rId5"/>
    <sheet name="CLT EDGE DISTANCE" sheetId="5" r:id="rId6"/>
    <sheet name="CONCRETE" sheetId="4" r:id="rId7"/>
    <sheet name="CLT" sheetId="2" r:id="rId8"/>
    <sheet name="SCREWS" sheetId="3" r:id="rId9"/>
    <sheet name="traduzioni" sheetId="8" state="hidden" r:id="rId10"/>
    <sheet name="Foglio1" sheetId="6" state="hidden" r:id="rId11"/>
  </sheets>
  <definedNames>
    <definedName name="_xlnm.Print_Area" localSheetId="1">CompleteReport!$A$1:$T$112,CompleteReport!$A$114:$T$235,CompleteReport!$A$237:$T$379</definedName>
    <definedName name="_xlnm.Print_Area" localSheetId="3">GEOMETRY!$A$1:$T$87</definedName>
    <definedName name="_xlnm.Print_Area" localSheetId="0">ShortReport!$A$1:$T$141</definedName>
    <definedName name="L_11">CLT!$F$74:$F$76</definedName>
    <definedName name="L_5">CLT!$F$25:$F$35</definedName>
    <definedName name="L_7">CLT!$F$42:$F$56</definedName>
    <definedName name="L_9">CLT!$F$63:$F$67</definedName>
    <definedName name="LAYER">CLT!$C$22:$C$25</definedName>
    <definedName name="RTR_16">SCREWS!$X$84:$X$98</definedName>
    <definedName name="SCREWS">SCREWS!$E$11:$E$14</definedName>
    <definedName name="VGS_11">SCREWS!$X$40:$X$60</definedName>
    <definedName name="VGS_13">SCREWS!$X$62:$X$81</definedName>
    <definedName name="VGS_9">SCREWS!$X$28:$X$38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F76" i="2"/>
  <c r="F67" i="2"/>
  <c r="F56" i="2"/>
  <c r="F35" i="2"/>
  <c r="A3" i="8" l="1"/>
  <c r="A186" i="8"/>
  <c r="K28" i="7" s="1"/>
  <c r="A183" i="8"/>
  <c r="A175" i="8"/>
  <c r="A167" i="8"/>
  <c r="A159" i="8"/>
  <c r="A151" i="8"/>
  <c r="G125" i="1" s="1"/>
  <c r="A143" i="8"/>
  <c r="G116" i="1" s="1"/>
  <c r="A135" i="8"/>
  <c r="G106" i="1" s="1"/>
  <c r="A127" i="8"/>
  <c r="G97" i="1" s="1"/>
  <c r="A119" i="8"/>
  <c r="K82" i="1" s="1"/>
  <c r="A111" i="8"/>
  <c r="G83" i="1" s="1"/>
  <c r="A103" i="8"/>
  <c r="G74" i="1" s="1"/>
  <c r="A95" i="8"/>
  <c r="G90" i="7" s="1"/>
  <c r="A87" i="8"/>
  <c r="G82" i="7" s="1"/>
  <c r="A79" i="8"/>
  <c r="G75" i="7" s="1"/>
  <c r="A71" i="8"/>
  <c r="G67" i="7" s="1"/>
  <c r="A63" i="8"/>
  <c r="G59" i="7" s="1"/>
  <c r="A55" i="8"/>
  <c r="G51" i="7" s="1"/>
  <c r="A47" i="8"/>
  <c r="G43" i="7" s="1"/>
  <c r="A39" i="8"/>
  <c r="A31" i="8"/>
  <c r="W14" i="2" s="1"/>
  <c r="A23" i="8"/>
  <c r="A15" i="8"/>
  <c r="G21" i="7" s="1"/>
  <c r="A7" i="8"/>
  <c r="G9" i="7" s="1"/>
  <c r="A160" i="8"/>
  <c r="A128" i="8"/>
  <c r="D99" i="1" s="1"/>
  <c r="A96" i="8"/>
  <c r="G91" i="7" s="1"/>
  <c r="A64" i="8"/>
  <c r="D61" i="7" s="1"/>
  <c r="A40" i="8"/>
  <c r="D36" i="7" s="1"/>
  <c r="A16" i="8"/>
  <c r="G23" i="7" s="1"/>
  <c r="A182" i="8"/>
  <c r="A174" i="8"/>
  <c r="A166" i="8"/>
  <c r="A158" i="8"/>
  <c r="A150" i="8"/>
  <c r="G123" i="1" s="1"/>
  <c r="A142" i="8"/>
  <c r="G114" i="1" s="1"/>
  <c r="A134" i="8"/>
  <c r="G105" i="1" s="1"/>
  <c r="A126" i="8"/>
  <c r="G96" i="1" s="1"/>
  <c r="A118" i="8"/>
  <c r="G91" i="1" s="1"/>
  <c r="A110" i="8"/>
  <c r="G82" i="1" s="1"/>
  <c r="A102" i="8"/>
  <c r="G73" i="1" s="1"/>
  <c r="A94" i="8"/>
  <c r="G89" i="7" s="1"/>
  <c r="A86" i="8"/>
  <c r="G81" i="7" s="1"/>
  <c r="A78" i="8"/>
  <c r="G74" i="7" s="1"/>
  <c r="A70" i="8"/>
  <c r="G66" i="7" s="1"/>
  <c r="A62" i="8"/>
  <c r="G58" i="7" s="1"/>
  <c r="A54" i="8"/>
  <c r="D51" i="7" s="1"/>
  <c r="A46" i="8"/>
  <c r="G42" i="7" s="1"/>
  <c r="A38" i="8"/>
  <c r="A30" i="8"/>
  <c r="W13" i="2" s="1"/>
  <c r="A22" i="8"/>
  <c r="A14" i="8"/>
  <c r="G19" i="7" s="1"/>
  <c r="A6" i="8"/>
  <c r="G8" i="7" s="1"/>
  <c r="A185" i="8"/>
  <c r="A161" i="8"/>
  <c r="A137" i="8"/>
  <c r="G108" i="1" s="1"/>
  <c r="A113" i="8"/>
  <c r="G86" i="1" s="1"/>
  <c r="A97" i="8"/>
  <c r="D93" i="7" s="1"/>
  <c r="A73" i="8"/>
  <c r="G69" i="7" s="1"/>
  <c r="A49" i="8"/>
  <c r="G45" i="7" s="1"/>
  <c r="A17" i="8"/>
  <c r="G24" i="7" s="1"/>
  <c r="A168" i="8"/>
  <c r="A136" i="8"/>
  <c r="G107" i="1" s="1"/>
  <c r="A104" i="8"/>
  <c r="G76" i="1" s="1"/>
  <c r="A80" i="8"/>
  <c r="G76" i="7" s="1"/>
  <c r="A48" i="8"/>
  <c r="G44" i="7" s="1"/>
  <c r="A8" i="8"/>
  <c r="G10" i="7" s="1"/>
  <c r="A181" i="8"/>
  <c r="A173" i="8"/>
  <c r="A165" i="8"/>
  <c r="A157" i="8"/>
  <c r="A149" i="8"/>
  <c r="G122" i="1" s="1"/>
  <c r="A141" i="8"/>
  <c r="G113" i="1" s="1"/>
  <c r="A133" i="8"/>
  <c r="G103" i="1" s="1"/>
  <c r="A125" i="8"/>
  <c r="G95" i="1" s="1"/>
  <c r="A117" i="8"/>
  <c r="G90" i="1" s="1"/>
  <c r="A109" i="8"/>
  <c r="D82" i="1" s="1"/>
  <c r="A101" i="8"/>
  <c r="D73" i="1" s="1"/>
  <c r="A93" i="8"/>
  <c r="G88" i="7" s="1"/>
  <c r="A85" i="8"/>
  <c r="G80" i="7" s="1"/>
  <c r="A77" i="8"/>
  <c r="G73" i="7" s="1"/>
  <c r="A69" i="8"/>
  <c r="D66" i="7" s="1"/>
  <c r="A61" i="8"/>
  <c r="G57" i="7" s="1"/>
  <c r="A53" i="8"/>
  <c r="G49" i="7" s="1"/>
  <c r="A45" i="8"/>
  <c r="G41" i="7" s="1"/>
  <c r="A37" i="8"/>
  <c r="G34" i="7" s="1"/>
  <c r="A29" i="8"/>
  <c r="W12" i="2" s="1"/>
  <c r="A21" i="8"/>
  <c r="G28" i="7" s="1"/>
  <c r="A13" i="8"/>
  <c r="D19" i="7" s="1"/>
  <c r="A5" i="8"/>
  <c r="D8" i="7" s="1"/>
  <c r="A177" i="8"/>
  <c r="A153" i="8"/>
  <c r="G128" i="1" s="1"/>
  <c r="A121" i="8"/>
  <c r="A89" i="8"/>
  <c r="G84" i="7" s="1"/>
  <c r="A65" i="8"/>
  <c r="G61" i="7" s="1"/>
  <c r="A41" i="8"/>
  <c r="G36" i="7" s="1"/>
  <c r="A25" i="8"/>
  <c r="A176" i="8"/>
  <c r="A144" i="8"/>
  <c r="G117" i="1" s="1"/>
  <c r="A112" i="8"/>
  <c r="G85" i="1" s="1"/>
  <c r="A72" i="8"/>
  <c r="G68" i="7" s="1"/>
  <c r="A24" i="8"/>
  <c r="A180" i="8"/>
  <c r="A172" i="8"/>
  <c r="A164" i="8"/>
  <c r="A156" i="8"/>
  <c r="A148" i="8"/>
  <c r="G121" i="1" s="1"/>
  <c r="A140" i="8"/>
  <c r="G112" i="1" s="1"/>
  <c r="A132" i="8"/>
  <c r="G102" i="1" s="1"/>
  <c r="A124" i="8"/>
  <c r="G94" i="1" s="1"/>
  <c r="A116" i="8"/>
  <c r="G89" i="1" s="1"/>
  <c r="A108" i="8"/>
  <c r="G80" i="1" s="1"/>
  <c r="A100" i="8"/>
  <c r="G95" i="7" s="1"/>
  <c r="A92" i="8"/>
  <c r="G87" i="7" s="1"/>
  <c r="A84" i="8"/>
  <c r="G79" i="7" s="1"/>
  <c r="A76" i="8"/>
  <c r="G72" i="7" s="1"/>
  <c r="A68" i="8"/>
  <c r="G64" i="7" s="1"/>
  <c r="A60" i="8"/>
  <c r="G56" i="7" s="1"/>
  <c r="A52" i="8"/>
  <c r="G48" i="7" s="1"/>
  <c r="A44" i="8"/>
  <c r="G40" i="7" s="1"/>
  <c r="A36" i="8"/>
  <c r="G33" i="7" s="1"/>
  <c r="A28" i="8"/>
  <c r="W11" i="2" s="1"/>
  <c r="A20" i="8"/>
  <c r="G27" i="7" s="1"/>
  <c r="A12" i="8"/>
  <c r="A4" i="8"/>
  <c r="E2" i="7" s="1"/>
  <c r="A169" i="8"/>
  <c r="A145" i="8"/>
  <c r="G118" i="1" s="1"/>
  <c r="A129" i="8"/>
  <c r="G99" i="1" s="1"/>
  <c r="A105" i="8"/>
  <c r="G77" i="1" s="1"/>
  <c r="A81" i="8"/>
  <c r="K71" i="7" s="1"/>
  <c r="A57" i="8"/>
  <c r="G53" i="7" s="1"/>
  <c r="A33" i="8"/>
  <c r="G30" i="7" s="1"/>
  <c r="A9" i="8"/>
  <c r="G11" i="7" s="1"/>
  <c r="A184" i="8"/>
  <c r="A152" i="8"/>
  <c r="G126" i="1" s="1"/>
  <c r="A120" i="8"/>
  <c r="A88" i="8"/>
  <c r="G83" i="7" s="1"/>
  <c r="A56" i="8"/>
  <c r="G52" i="7" s="1"/>
  <c r="A32" i="8"/>
  <c r="D30" i="7" s="1"/>
  <c r="A179" i="8"/>
  <c r="A171" i="8"/>
  <c r="A163" i="8"/>
  <c r="A155" i="8"/>
  <c r="A147" i="8"/>
  <c r="G120" i="1" s="1"/>
  <c r="A139" i="8"/>
  <c r="G110" i="1" s="1"/>
  <c r="A131" i="8"/>
  <c r="G101" i="1" s="1"/>
  <c r="A123" i="8"/>
  <c r="G93" i="1" s="1"/>
  <c r="A115" i="8"/>
  <c r="G88" i="1" s="1"/>
  <c r="A107" i="8"/>
  <c r="G79" i="1" s="1"/>
  <c r="A99" i="8"/>
  <c r="G94" i="7" s="1"/>
  <c r="A91" i="8"/>
  <c r="G86" i="7" s="1"/>
  <c r="A83" i="8"/>
  <c r="G78" i="7" s="1"/>
  <c r="A75" i="8"/>
  <c r="G71" i="7" s="1"/>
  <c r="A67" i="8"/>
  <c r="G63" i="7" s="1"/>
  <c r="A59" i="8"/>
  <c r="G55" i="7" s="1"/>
  <c r="A51" i="8"/>
  <c r="G47" i="7" s="1"/>
  <c r="A43" i="8"/>
  <c r="G39" i="7" s="1"/>
  <c r="A35" i="8"/>
  <c r="G32" i="7" s="1"/>
  <c r="A27" i="8"/>
  <c r="W10" i="2" s="1"/>
  <c r="A19" i="8"/>
  <c r="G26" i="7" s="1"/>
  <c r="A11" i="8"/>
  <c r="A178" i="8"/>
  <c r="A170" i="8"/>
  <c r="A162" i="8"/>
  <c r="A154" i="8"/>
  <c r="G129" i="1" s="1"/>
  <c r="A146" i="8"/>
  <c r="G119" i="1" s="1"/>
  <c r="A138" i="8"/>
  <c r="D110" i="1" s="1"/>
  <c r="A130" i="8"/>
  <c r="G100" i="1" s="1"/>
  <c r="A122" i="8"/>
  <c r="D93" i="1" s="1"/>
  <c r="A114" i="8"/>
  <c r="G87" i="1" s="1"/>
  <c r="A106" i="8"/>
  <c r="G78" i="1" s="1"/>
  <c r="A98" i="8"/>
  <c r="G93" i="7" s="1"/>
  <c r="A90" i="8"/>
  <c r="D86" i="7" s="1"/>
  <c r="A82" i="8"/>
  <c r="D78" i="7" s="1"/>
  <c r="A74" i="8"/>
  <c r="G70" i="7" s="1"/>
  <c r="A66" i="8"/>
  <c r="G62" i="7" s="1"/>
  <c r="A58" i="8"/>
  <c r="G54" i="7" s="1"/>
  <c r="A50" i="8"/>
  <c r="G46" i="7" s="1"/>
  <c r="A42" i="8"/>
  <c r="G38" i="7" s="1"/>
  <c r="A34" i="8"/>
  <c r="G31" i="7" s="1"/>
  <c r="A26" i="8"/>
  <c r="W9" i="2" s="1"/>
  <c r="A18" i="8"/>
  <c r="G25" i="7" s="1"/>
  <c r="A10" i="8"/>
  <c r="D13" i="7" s="1"/>
  <c r="Z85" i="3"/>
  <c r="Z86" i="3" s="1"/>
  <c r="Z41" i="3"/>
  <c r="Z42" i="3" s="1"/>
  <c r="Z43" i="3" s="1"/>
  <c r="Z44" i="3" s="1"/>
  <c r="Z45" i="3" s="1"/>
  <c r="Z46" i="3" s="1"/>
  <c r="Z29" i="3"/>
  <c r="Z30" i="3" s="1"/>
  <c r="Z31" i="3" s="1"/>
  <c r="Z32" i="3" s="1"/>
  <c r="Z33" i="3" s="1"/>
  <c r="Z34" i="3" s="1"/>
  <c r="Z35" i="3" s="1"/>
  <c r="Z36" i="3" s="1"/>
  <c r="B220" i="8"/>
  <c r="I34" i="7" l="1"/>
  <c r="A226" i="8"/>
  <c r="G20" i="7" s="1"/>
  <c r="A224" i="8"/>
  <c r="G14" i="7" s="1"/>
  <c r="A225" i="8"/>
  <c r="G15" i="7" s="1"/>
  <c r="A223" i="8"/>
  <c r="Q9" i="4" s="1"/>
  <c r="A222" i="8"/>
  <c r="A221" i="8"/>
  <c r="K54" i="7" s="1"/>
  <c r="Z87" i="3"/>
  <c r="Z88" i="3" s="1"/>
  <c r="Z63" i="3"/>
  <c r="Z37" i="3"/>
  <c r="B189" i="8"/>
  <c r="A216" i="8" s="1"/>
  <c r="E2" i="11" l="1"/>
  <c r="J8" i="7"/>
  <c r="K93" i="7"/>
  <c r="K127" i="1"/>
  <c r="A197" i="8"/>
  <c r="B24" i="11" s="1"/>
  <c r="A205" i="8"/>
  <c r="B40" i="11" s="1"/>
  <c r="A213" i="8"/>
  <c r="B56" i="11" s="1"/>
  <c r="A198" i="8"/>
  <c r="C26" i="11" s="1"/>
  <c r="A206" i="8"/>
  <c r="C42" i="11" s="1"/>
  <c r="A214" i="8"/>
  <c r="C58" i="11" s="1"/>
  <c r="A209" i="8"/>
  <c r="B48" i="11" s="1"/>
  <c r="A196" i="8"/>
  <c r="C22" i="11" s="1"/>
  <c r="A191" i="8"/>
  <c r="B12" i="11" s="1"/>
  <c r="A199" i="8"/>
  <c r="B28" i="11" s="1"/>
  <c r="A207" i="8"/>
  <c r="B44" i="11" s="1"/>
  <c r="A215" i="8"/>
  <c r="A61" i="11" s="1"/>
  <c r="A201" i="8"/>
  <c r="B32" i="11" s="1"/>
  <c r="A204" i="8"/>
  <c r="C38" i="11" s="1"/>
  <c r="A192" i="8"/>
  <c r="C14" i="11" s="1"/>
  <c r="A200" i="8"/>
  <c r="C30" i="11" s="1"/>
  <c r="A208" i="8"/>
  <c r="C46" i="11" s="1"/>
  <c r="A190" i="8"/>
  <c r="C7" i="11" s="1"/>
  <c r="A193" i="8"/>
  <c r="B16" i="11" s="1"/>
  <c r="A194" i="8"/>
  <c r="C18" i="11" s="1"/>
  <c r="A202" i="8"/>
  <c r="C34" i="11" s="1"/>
  <c r="A210" i="8"/>
  <c r="C50" i="11" s="1"/>
  <c r="A195" i="8"/>
  <c r="B20" i="11" s="1"/>
  <c r="A203" i="8"/>
  <c r="B36" i="11" s="1"/>
  <c r="A211" i="8"/>
  <c r="B52" i="11" s="1"/>
  <c r="A212" i="8"/>
  <c r="C54" i="11" s="1"/>
  <c r="Z89" i="3"/>
  <c r="Z64" i="3"/>
  <c r="Z38" i="3"/>
  <c r="Z90" i="3" l="1"/>
  <c r="Z65" i="3"/>
  <c r="AI86" i="7"/>
  <c r="AI85" i="7"/>
  <c r="AI84" i="7"/>
  <c r="AI83" i="7"/>
  <c r="AI82" i="7"/>
  <c r="AI81" i="7"/>
  <c r="AI80" i="7"/>
  <c r="AI79" i="7"/>
  <c r="AI78" i="7"/>
  <c r="AI77" i="7"/>
  <c r="AI76" i="7"/>
  <c r="Z91" i="3" l="1"/>
  <c r="Z66" i="3"/>
  <c r="H50" i="2"/>
  <c r="H31" i="2"/>
  <c r="N11" i="2"/>
  <c r="Z92" i="3" l="1"/>
  <c r="Z93" i="3" s="1"/>
  <c r="Z94" i="3" s="1"/>
  <c r="Z95" i="3" s="1"/>
  <c r="Z96" i="3" s="1"/>
  <c r="Z67" i="3"/>
  <c r="H76" i="2"/>
  <c r="H74" i="2"/>
  <c r="F74" i="2" s="1"/>
  <c r="H66" i="2"/>
  <c r="F66" i="2" s="1"/>
  <c r="H67" i="2"/>
  <c r="H64" i="2"/>
  <c r="F64" i="2" s="1"/>
  <c r="H65" i="2"/>
  <c r="F65" i="2" s="1"/>
  <c r="H54" i="2"/>
  <c r="F54" i="2" s="1"/>
  <c r="H53" i="2"/>
  <c r="F53" i="2" s="1"/>
  <c r="H51" i="2"/>
  <c r="F51" i="2" s="1"/>
  <c r="H52" i="2"/>
  <c r="F52" i="2" s="1"/>
  <c r="H49" i="2"/>
  <c r="F49" i="2" s="1"/>
  <c r="H48" i="2"/>
  <c r="F48" i="2" s="1"/>
  <c r="H45" i="2"/>
  <c r="F45" i="2" s="1"/>
  <c r="H46" i="2"/>
  <c r="F46" i="2" s="1"/>
  <c r="H47" i="2"/>
  <c r="F47" i="2" s="1"/>
  <c r="H43" i="2"/>
  <c r="F43" i="2" s="1"/>
  <c r="H34" i="2"/>
  <c r="F34" i="2" s="1"/>
  <c r="H33" i="2"/>
  <c r="F33" i="2" s="1"/>
  <c r="F31" i="2"/>
  <c r="H30" i="2"/>
  <c r="F30" i="2" s="1"/>
  <c r="H28" i="2"/>
  <c r="F28" i="2" s="1"/>
  <c r="H27" i="2"/>
  <c r="F27" i="2" s="1"/>
  <c r="Z97" i="3" l="1"/>
  <c r="Z68" i="3"/>
  <c r="J95" i="7"/>
  <c r="J94" i="7"/>
  <c r="J93" i="7"/>
  <c r="H8" i="1"/>
  <c r="H9" i="1"/>
  <c r="H22" i="1"/>
  <c r="D23" i="3" s="1"/>
  <c r="Z98" i="3" l="1"/>
  <c r="Z69" i="3"/>
  <c r="D12" i="5"/>
  <c r="H56" i="2"/>
  <c r="H35" i="2"/>
  <c r="Z70" i="3" l="1"/>
  <c r="H55" i="7"/>
  <c r="N19" i="3"/>
  <c r="N18" i="3"/>
  <c r="AE19" i="3"/>
  <c r="AE18" i="3"/>
  <c r="H8" i="7"/>
  <c r="Z71" i="3" l="1"/>
  <c r="C4" i="5"/>
  <c r="C5" i="3"/>
  <c r="C52" i="3"/>
  <c r="C9" i="5"/>
  <c r="C9" i="4"/>
  <c r="M9" i="3"/>
  <c r="C12" i="5"/>
  <c r="M13" i="3"/>
  <c r="M16" i="3"/>
  <c r="C14" i="5"/>
  <c r="F5" i="2"/>
  <c r="C10" i="4"/>
  <c r="D17" i="4"/>
  <c r="B25" i="3"/>
  <c r="E63" i="1"/>
  <c r="G37" i="3"/>
  <c r="C13" i="5"/>
  <c r="B37" i="3"/>
  <c r="F22" i="2"/>
  <c r="C15" i="5"/>
  <c r="G25" i="3"/>
  <c r="C16" i="5"/>
  <c r="C4" i="4"/>
  <c r="A19" i="7"/>
  <c r="H27" i="7"/>
  <c r="H14" i="1"/>
  <c r="K51" i="7"/>
  <c r="I8" i="6"/>
  <c r="Q7" i="6"/>
  <c r="Z7" i="6"/>
  <c r="Z4" i="6"/>
  <c r="Z3" i="6"/>
  <c r="T7" i="6"/>
  <c r="V4" i="6"/>
  <c r="W3" i="6"/>
  <c r="W4" i="6"/>
  <c r="Q4" i="6"/>
  <c r="Q3" i="6"/>
  <c r="M6" i="6"/>
  <c r="M3" i="6"/>
  <c r="X69" i="1"/>
  <c r="AA75" i="1"/>
  <c r="AA74" i="1"/>
  <c r="AF8" i="6" l="1"/>
  <c r="Z72" i="3"/>
  <c r="K23" i="7"/>
  <c r="K26" i="7"/>
  <c r="A129" i="10"/>
  <c r="A367" i="9"/>
  <c r="A371" i="9"/>
  <c r="A133" i="10"/>
  <c r="A132" i="10"/>
  <c r="A370" i="9"/>
  <c r="A369" i="9"/>
  <c r="A131" i="10"/>
  <c r="A130" i="10"/>
  <c r="A368" i="9"/>
  <c r="D20" i="4"/>
  <c r="D18" i="4"/>
  <c r="A366" i="9"/>
  <c r="A128" i="10"/>
  <c r="H10" i="1"/>
  <c r="L82" i="1" s="1"/>
  <c r="W73" i="1"/>
  <c r="D11" i="6"/>
  <c r="Z73" i="3" l="1"/>
  <c r="Z74" i="3" s="1"/>
  <c r="Z75" i="3" s="1"/>
  <c r="Z76" i="3" s="1"/>
  <c r="X73" i="1"/>
  <c r="Y73" i="1" s="1"/>
  <c r="W75" i="1"/>
  <c r="W74" i="1"/>
  <c r="W80" i="1"/>
  <c r="W72" i="1"/>
  <c r="W79" i="1"/>
  <c r="W71" i="1"/>
  <c r="W78" i="1"/>
  <c r="W77" i="1"/>
  <c r="W76" i="1"/>
  <c r="W70" i="1"/>
  <c r="L2" i="1"/>
  <c r="D21" i="6"/>
  <c r="J86" i="6"/>
  <c r="J85" i="6"/>
  <c r="J91" i="6"/>
  <c r="AE9" i="3" l="1"/>
  <c r="N14" i="3"/>
  <c r="N10" i="3"/>
  <c r="H26" i="4"/>
  <c r="N17" i="3" s="1"/>
  <c r="AE14" i="3"/>
  <c r="AE11" i="3"/>
  <c r="J67" i="6"/>
  <c r="J65" i="6"/>
  <c r="X72" i="1"/>
  <c r="Y72" i="1" s="1"/>
  <c r="X71" i="1"/>
  <c r="Y71" i="1" s="1"/>
  <c r="X70" i="1"/>
  <c r="Y70" i="1" s="1"/>
  <c r="X74" i="1"/>
  <c r="Y74" i="1" s="1"/>
  <c r="X76" i="1"/>
  <c r="Y76" i="1" s="1"/>
  <c r="X75" i="1"/>
  <c r="X77" i="1"/>
  <c r="Y77" i="1" s="1"/>
  <c r="X78" i="1"/>
  <c r="Y78" i="1" s="1"/>
  <c r="X79" i="1"/>
  <c r="Y79" i="1" s="1"/>
  <c r="X80" i="1"/>
  <c r="Y80" i="1" s="1"/>
  <c r="J82" i="6"/>
  <c r="J83" i="6" s="1"/>
  <c r="J89" i="6" s="1"/>
  <c r="J92" i="6" s="1"/>
  <c r="AA97" i="3" l="1"/>
  <c r="AA96" i="3"/>
  <c r="AA89" i="3"/>
  <c r="AA90" i="3"/>
  <c r="AA87" i="3"/>
  <c r="AA91" i="3"/>
  <c r="AA85" i="3"/>
  <c r="AA86" i="3"/>
  <c r="AA88" i="3"/>
  <c r="AA66" i="3"/>
  <c r="AA67" i="3"/>
  <c r="AA68" i="3"/>
  <c r="AA65" i="3"/>
  <c r="AA70" i="3"/>
  <c r="AA71" i="3"/>
  <c r="AA62" i="3"/>
  <c r="AA63" i="3"/>
  <c r="AA69" i="3"/>
  <c r="AA72" i="3"/>
  <c r="AA64" i="3"/>
  <c r="AA40" i="3"/>
  <c r="AA48" i="3"/>
  <c r="AA56" i="3"/>
  <c r="AA52" i="3"/>
  <c r="AA41" i="3"/>
  <c r="AA49" i="3"/>
  <c r="AA57" i="3"/>
  <c r="AA44" i="3"/>
  <c r="AA60" i="3"/>
  <c r="AA55" i="3"/>
  <c r="AA42" i="3"/>
  <c r="AA50" i="3"/>
  <c r="AA58" i="3"/>
  <c r="AA47" i="3"/>
  <c r="AA43" i="3"/>
  <c r="AA51" i="3"/>
  <c r="AA59" i="3"/>
  <c r="AA45" i="3"/>
  <c r="AA53" i="3"/>
  <c r="AA46" i="3"/>
  <c r="AA54" i="3"/>
  <c r="AA28" i="3"/>
  <c r="AA36" i="3"/>
  <c r="AA37" i="3"/>
  <c r="Y75" i="1"/>
  <c r="AC75" i="1" s="1"/>
  <c r="AE17" i="3"/>
  <c r="AG70" i="1"/>
  <c r="M40" i="6"/>
  <c r="M39" i="6"/>
  <c r="S17" i="6"/>
  <c r="S18" i="6"/>
  <c r="S19" i="6"/>
  <c r="S20" i="6"/>
  <c r="S21" i="6"/>
  <c r="S22" i="6"/>
  <c r="S23" i="6"/>
  <c r="S24" i="6"/>
  <c r="S25" i="6"/>
  <c r="S26" i="6"/>
  <c r="S27" i="6"/>
  <c r="S28" i="6"/>
  <c r="S29" i="6"/>
  <c r="S30" i="6"/>
  <c r="S31" i="6"/>
  <c r="S32" i="6"/>
  <c r="S33" i="6"/>
  <c r="S34" i="6"/>
  <c r="S35" i="6"/>
  <c r="S36" i="6"/>
  <c r="R17" i="6"/>
  <c r="R18" i="6"/>
  <c r="R19" i="6"/>
  <c r="R20" i="6"/>
  <c r="R21" i="6"/>
  <c r="R22" i="6"/>
  <c r="R23" i="6"/>
  <c r="R24" i="6"/>
  <c r="R25" i="6"/>
  <c r="R26" i="6"/>
  <c r="R27" i="6"/>
  <c r="R28" i="6"/>
  <c r="R29" i="6"/>
  <c r="R30" i="6"/>
  <c r="R31" i="6"/>
  <c r="R32" i="6"/>
  <c r="R33" i="6"/>
  <c r="R34" i="6"/>
  <c r="R35" i="6"/>
  <c r="R36" i="6"/>
  <c r="D15" i="6"/>
  <c r="D14" i="6"/>
  <c r="AC71" i="1"/>
  <c r="G12" i="6"/>
  <c r="I12" i="6" s="1"/>
  <c r="I9" i="6"/>
  <c r="H75" i="2"/>
  <c r="F75" i="2" s="1"/>
  <c r="D9" i="6"/>
  <c r="H6" i="1"/>
  <c r="H31" i="1"/>
  <c r="H30" i="1"/>
  <c r="H43" i="7"/>
  <c r="H36" i="1"/>
  <c r="G24" i="4" s="1"/>
  <c r="H30" i="4" s="1"/>
  <c r="H37" i="1"/>
  <c r="D14" i="4" s="1"/>
  <c r="H38" i="1"/>
  <c r="D14" i="5" s="1"/>
  <c r="H39" i="1"/>
  <c r="H40" i="1"/>
  <c r="H23" i="1"/>
  <c r="H28" i="1"/>
  <c r="H20" i="1"/>
  <c r="H18" i="1"/>
  <c r="H17" i="1"/>
  <c r="H16" i="1"/>
  <c r="H4" i="1"/>
  <c r="H2" i="1"/>
  <c r="N11" i="3" s="1"/>
  <c r="AM86" i="7"/>
  <c r="AR86" i="7" s="1"/>
  <c r="AM85" i="7"/>
  <c r="AR85" i="7" s="1"/>
  <c r="AM84" i="7"/>
  <c r="AR84" i="7" s="1"/>
  <c r="AM83" i="7"/>
  <c r="AR83" i="7" s="1"/>
  <c r="AM82" i="7"/>
  <c r="AR82" i="7" s="1"/>
  <c r="AM81" i="7"/>
  <c r="AR81" i="7" s="1"/>
  <c r="AM80" i="7"/>
  <c r="AR80" i="7" s="1"/>
  <c r="AM79" i="7"/>
  <c r="AR79" i="7" s="1"/>
  <c r="AM78" i="7"/>
  <c r="AJ76" i="7"/>
  <c r="H44" i="7"/>
  <c r="H33" i="1" s="1"/>
  <c r="J11" i="2"/>
  <c r="AH10" i="3"/>
  <c r="AH11" i="3"/>
  <c r="AH12" i="3"/>
  <c r="AH9" i="3"/>
  <c r="AI9" i="3"/>
  <c r="AI12" i="3"/>
  <c r="AI11" i="3"/>
  <c r="AI10" i="3"/>
  <c r="H112" i="1" l="1"/>
  <c r="AJ85" i="7"/>
  <c r="AJ83" i="7"/>
  <c r="AL83" i="7" s="1"/>
  <c r="AO83" i="7" s="1"/>
  <c r="AJ77" i="7"/>
  <c r="AJ81" i="7"/>
  <c r="AJ79" i="7"/>
  <c r="AC70" i="1"/>
  <c r="Y3" i="6"/>
  <c r="Y7" i="6" s="1"/>
  <c r="Y6" i="6"/>
  <c r="Y9" i="6" s="1"/>
  <c r="T4" i="6"/>
  <c r="M4" i="6"/>
  <c r="AB3" i="6" s="1"/>
  <c r="AE10" i="3"/>
  <c r="N12" i="2"/>
  <c r="H20" i="7" s="1"/>
  <c r="Z70" i="1"/>
  <c r="Z71" i="1" s="1"/>
  <c r="Z72" i="1" s="1"/>
  <c r="Z73" i="1" s="1"/>
  <c r="Z74" i="1" s="1"/>
  <c r="Z75" i="1" s="1"/>
  <c r="Z76" i="1" s="1"/>
  <c r="Z77" i="1" s="1"/>
  <c r="Z78" i="1" s="1"/>
  <c r="Z79" i="1" s="1"/>
  <c r="Z80" i="1" s="1"/>
  <c r="AB69" i="1"/>
  <c r="D18" i="6"/>
  <c r="I62" i="6"/>
  <c r="D17" i="6"/>
  <c r="G60" i="6"/>
  <c r="H60" i="6" s="1"/>
  <c r="I60" i="6" s="1"/>
  <c r="AC77" i="1"/>
  <c r="G48" i="6"/>
  <c r="H48" i="6" s="1"/>
  <c r="I48" i="6" s="1"/>
  <c r="G58" i="6"/>
  <c r="H58" i="6" s="1"/>
  <c r="I58" i="6" s="1"/>
  <c r="G49" i="6"/>
  <c r="H49" i="6" s="1"/>
  <c r="I49" i="6" s="1"/>
  <c r="G41" i="6"/>
  <c r="H41" i="6" s="1"/>
  <c r="I41" i="6" s="1"/>
  <c r="G56" i="6"/>
  <c r="H56" i="6" s="1"/>
  <c r="I56" i="6" s="1"/>
  <c r="G47" i="6"/>
  <c r="H47" i="6" s="1"/>
  <c r="I47" i="6" s="1"/>
  <c r="G52" i="6"/>
  <c r="H52" i="6" s="1"/>
  <c r="I52" i="6" s="1"/>
  <c r="G55" i="6"/>
  <c r="H55" i="6" s="1"/>
  <c r="I55" i="6" s="1"/>
  <c r="G46" i="6"/>
  <c r="H46" i="6" s="1"/>
  <c r="I46" i="6" s="1"/>
  <c r="G40" i="6"/>
  <c r="H40" i="6" s="1"/>
  <c r="I40" i="6" s="1"/>
  <c r="G11" i="6"/>
  <c r="I11" i="6" s="1"/>
  <c r="G54" i="6"/>
  <c r="H54" i="6" s="1"/>
  <c r="I54" i="6" s="1"/>
  <c r="G45" i="6"/>
  <c r="H45" i="6" s="1"/>
  <c r="I45" i="6" s="1"/>
  <c r="G39" i="6"/>
  <c r="H39" i="6" s="1"/>
  <c r="I39" i="6" s="1"/>
  <c r="G53" i="6"/>
  <c r="H53" i="6" s="1"/>
  <c r="I53" i="6" s="1"/>
  <c r="G44" i="6"/>
  <c r="H44" i="6" s="1"/>
  <c r="I44" i="6" s="1"/>
  <c r="G57" i="6"/>
  <c r="H57" i="6" s="1"/>
  <c r="I57" i="6" s="1"/>
  <c r="G51" i="6"/>
  <c r="H51" i="6" s="1"/>
  <c r="I51" i="6" s="1"/>
  <c r="G43" i="6"/>
  <c r="H43" i="6" s="1"/>
  <c r="I43" i="6" s="1"/>
  <c r="G59" i="6"/>
  <c r="H59" i="6" s="1"/>
  <c r="I59" i="6" s="1"/>
  <c r="G50" i="6"/>
  <c r="H50" i="6" s="1"/>
  <c r="I50" i="6" s="1"/>
  <c r="G42" i="6"/>
  <c r="H42" i="6" s="1"/>
  <c r="I42" i="6" s="1"/>
  <c r="H12" i="6"/>
  <c r="G18" i="6"/>
  <c r="I18" i="6" s="1"/>
  <c r="G17" i="6"/>
  <c r="I17" i="6" s="1"/>
  <c r="G16" i="6"/>
  <c r="I16" i="6" s="1"/>
  <c r="G15" i="6"/>
  <c r="I15" i="6" s="1"/>
  <c r="G19" i="6"/>
  <c r="I19" i="6" s="1"/>
  <c r="G14" i="6"/>
  <c r="I14" i="6" s="1"/>
  <c r="G21" i="6"/>
  <c r="I21" i="6" s="1"/>
  <c r="G13" i="6"/>
  <c r="I13" i="6" s="1"/>
  <c r="G20" i="6"/>
  <c r="I20" i="6" s="1"/>
  <c r="H7" i="1"/>
  <c r="AQ79" i="7"/>
  <c r="AJ84" i="7"/>
  <c r="AQ84" i="7" s="1"/>
  <c r="AT84" i="7" s="1"/>
  <c r="H32" i="1"/>
  <c r="H123" i="1"/>
  <c r="AR78" i="7"/>
  <c r="AL76" i="7"/>
  <c r="AJ80" i="7"/>
  <c r="AM77" i="7"/>
  <c r="AJ78" i="7"/>
  <c r="AJ82" i="7"/>
  <c r="AM76" i="7"/>
  <c r="AJ86" i="7"/>
  <c r="AQ76" i="7"/>
  <c r="G10" i="1"/>
  <c r="AB2" i="6" l="1"/>
  <c r="AQ83" i="7"/>
  <c r="AT83" i="7" s="1"/>
  <c r="AK2" i="6"/>
  <c r="AN2" i="6" s="1"/>
  <c r="AK3" i="6"/>
  <c r="AN3" i="6" s="1"/>
  <c r="N5" i="6"/>
  <c r="AC3" i="6" s="1"/>
  <c r="M5" i="6"/>
  <c r="AB4" i="6" s="1"/>
  <c r="AB70" i="1"/>
  <c r="M12" i="6"/>
  <c r="M21" i="6"/>
  <c r="M29" i="6"/>
  <c r="M17" i="6"/>
  <c r="M14" i="6"/>
  <c r="M23" i="6"/>
  <c r="M31" i="6"/>
  <c r="M27" i="6"/>
  <c r="M15" i="6"/>
  <c r="M24" i="6"/>
  <c r="M32" i="6"/>
  <c r="M35" i="6"/>
  <c r="M16" i="6"/>
  <c r="M25" i="6"/>
  <c r="M33" i="6"/>
  <c r="M19" i="6"/>
  <c r="M18" i="6"/>
  <c r="M26" i="6"/>
  <c r="M34" i="6"/>
  <c r="M20" i="6"/>
  <c r="M28" i="6"/>
  <c r="M36" i="6"/>
  <c r="M13" i="6"/>
  <c r="M22" i="6"/>
  <c r="M30" i="6"/>
  <c r="I65" i="6"/>
  <c r="Q13" i="6"/>
  <c r="Q14" i="6"/>
  <c r="Q15" i="6"/>
  <c r="Q16" i="6"/>
  <c r="Q12" i="6"/>
  <c r="H19" i="6"/>
  <c r="H11" i="6"/>
  <c r="H18" i="6"/>
  <c r="H20" i="6"/>
  <c r="H21" i="6"/>
  <c r="H15" i="6"/>
  <c r="H16" i="6"/>
  <c r="H17" i="6"/>
  <c r="H14" i="6"/>
  <c r="H13" i="6"/>
  <c r="H88" i="1"/>
  <c r="H87" i="1"/>
  <c r="AL79" i="7"/>
  <c r="AL84" i="7"/>
  <c r="AO84" i="7" s="1"/>
  <c r="AL86" i="7"/>
  <c r="AO86" i="7" s="1"/>
  <c r="AQ86" i="7"/>
  <c r="AT86" i="7" s="1"/>
  <c r="AL82" i="7"/>
  <c r="AO82" i="7" s="1"/>
  <c r="AQ82" i="7"/>
  <c r="AT82" i="7" s="1"/>
  <c r="AR77" i="7"/>
  <c r="AL77" i="7"/>
  <c r="AQ77" i="7"/>
  <c r="AL78" i="7"/>
  <c r="AQ78" i="7"/>
  <c r="AQ85" i="7"/>
  <c r="AT85" i="7" s="1"/>
  <c r="AL85" i="7"/>
  <c r="AO85" i="7" s="1"/>
  <c r="AR76" i="7"/>
  <c r="AQ81" i="7"/>
  <c r="AT81" i="7" s="1"/>
  <c r="AL81" i="7"/>
  <c r="AO81" i="7" s="1"/>
  <c r="AQ80" i="7"/>
  <c r="AT80" i="7" s="1"/>
  <c r="AL80" i="7"/>
  <c r="AO80" i="7" s="1"/>
  <c r="AB5" i="6" l="1"/>
  <c r="AC4" i="6"/>
  <c r="AC2" i="6"/>
  <c r="AF3" i="6"/>
  <c r="AF2" i="6" s="1"/>
  <c r="AK5" i="6"/>
  <c r="AN5" i="6" s="1"/>
  <c r="AK4" i="6"/>
  <c r="AN4" i="6" s="1"/>
  <c r="AJ5" i="6"/>
  <c r="AJ2" i="6"/>
  <c r="AJ3" i="6"/>
  <c r="AJ4" i="6"/>
  <c r="N6" i="6"/>
  <c r="Q6" i="6" s="1"/>
  <c r="Q5" i="6"/>
  <c r="Z5" i="6" s="1"/>
  <c r="Z8" i="6" s="1"/>
  <c r="Z9" i="6" s="1"/>
  <c r="AB71" i="1"/>
  <c r="I66" i="6"/>
  <c r="I95" i="6"/>
  <c r="N36" i="6"/>
  <c r="O36" i="6"/>
  <c r="O25" i="6"/>
  <c r="N25" i="6"/>
  <c r="O23" i="6"/>
  <c r="N23" i="6"/>
  <c r="O35" i="6"/>
  <c r="N35" i="6"/>
  <c r="R12" i="6"/>
  <c r="R13" i="6" s="1"/>
  <c r="R14" i="6" s="1"/>
  <c r="R15" i="6" s="1"/>
  <c r="R16" i="6" s="1"/>
  <c r="N34" i="6"/>
  <c r="O34" i="6"/>
  <c r="N32" i="6"/>
  <c r="O32" i="6"/>
  <c r="O29" i="6"/>
  <c r="N29" i="6"/>
  <c r="N28" i="6"/>
  <c r="O28" i="6"/>
  <c r="O26" i="6"/>
  <c r="N26" i="6"/>
  <c r="N24" i="6"/>
  <c r="O24" i="6"/>
  <c r="N30" i="6"/>
  <c r="O30" i="6"/>
  <c r="N12" i="6"/>
  <c r="N13" i="6" s="1"/>
  <c r="N14" i="6" s="1"/>
  <c r="N15" i="6" s="1"/>
  <c r="N16" i="6" s="1"/>
  <c r="N17" i="6" s="1"/>
  <c r="N18" i="6" s="1"/>
  <c r="N19" i="6" s="1"/>
  <c r="N20" i="6" s="1"/>
  <c r="N21" i="6" s="1"/>
  <c r="N22" i="6"/>
  <c r="O22" i="6"/>
  <c r="O27" i="6"/>
  <c r="N27" i="6"/>
  <c r="O33" i="6"/>
  <c r="N33" i="6"/>
  <c r="N31" i="6"/>
  <c r="O31" i="6"/>
  <c r="J42" i="6"/>
  <c r="J41" i="6"/>
  <c r="AA84" i="3"/>
  <c r="AA38" i="3"/>
  <c r="AA78" i="3"/>
  <c r="AA95" i="3"/>
  <c r="AA35" i="3"/>
  <c r="AA77" i="3"/>
  <c r="AA94" i="3"/>
  <c r="AA29" i="3"/>
  <c r="AA34" i="3"/>
  <c r="AA76" i="3"/>
  <c r="AA93" i="3"/>
  <c r="AA98" i="3"/>
  <c r="AA33" i="3"/>
  <c r="AA75" i="3"/>
  <c r="AA92" i="3"/>
  <c r="AA79" i="3"/>
  <c r="AA32" i="3"/>
  <c r="AA74" i="3"/>
  <c r="AA31" i="3"/>
  <c r="AA81" i="3"/>
  <c r="AA73" i="3"/>
  <c r="AA30" i="3"/>
  <c r="AA80" i="3"/>
  <c r="AF4" i="6" l="1"/>
  <c r="AF5" i="6" s="1"/>
  <c r="AC5" i="6"/>
  <c r="Z6" i="6"/>
  <c r="T6" i="6"/>
  <c r="J43" i="6"/>
  <c r="M41" i="6"/>
  <c r="J44" i="6"/>
  <c r="M42" i="6"/>
  <c r="AC80" i="1"/>
  <c r="AC79" i="1"/>
  <c r="AC78" i="1"/>
  <c r="AC76" i="1"/>
  <c r="AC74" i="1"/>
  <c r="AC72" i="1"/>
  <c r="J46" i="6" l="1"/>
  <c r="M44" i="6"/>
  <c r="J45" i="6"/>
  <c r="M43" i="6"/>
  <c r="Z94" i="1"/>
  <c r="AC73" i="1"/>
  <c r="Z92" i="1"/>
  <c r="Z93" i="1"/>
  <c r="V93" i="1"/>
  <c r="V92" i="1"/>
  <c r="H55" i="2"/>
  <c r="F55" i="2" s="1"/>
  <c r="H63" i="2"/>
  <c r="F63" i="2" s="1"/>
  <c r="J47" i="6" l="1"/>
  <c r="M45" i="6"/>
  <c r="J48" i="6"/>
  <c r="M46" i="6"/>
  <c r="H62" i="7"/>
  <c r="H47" i="1" s="1"/>
  <c r="M9" i="2"/>
  <c r="E14" i="3"/>
  <c r="E13" i="3"/>
  <c r="E12" i="3"/>
  <c r="E11" i="3"/>
  <c r="G15" i="4"/>
  <c r="D15" i="4"/>
  <c r="F14" i="4"/>
  <c r="W96" i="3" l="1"/>
  <c r="W97" i="3"/>
  <c r="W95" i="3"/>
  <c r="W90" i="3"/>
  <c r="W91" i="3"/>
  <c r="W87" i="3"/>
  <c r="W89" i="3"/>
  <c r="W85" i="3"/>
  <c r="W86" i="3"/>
  <c r="W88" i="3"/>
  <c r="W73" i="3"/>
  <c r="X73" i="3" s="1"/>
  <c r="W66" i="3"/>
  <c r="W69" i="3"/>
  <c r="W70" i="3"/>
  <c r="W67" i="3"/>
  <c r="W65" i="3"/>
  <c r="W68" i="3"/>
  <c r="W62" i="3"/>
  <c r="W63" i="3"/>
  <c r="W71" i="3"/>
  <c r="W64" i="3"/>
  <c r="W72" i="3"/>
  <c r="W46" i="3"/>
  <c r="AH46" i="3" s="1"/>
  <c r="W53" i="3"/>
  <c r="W41" i="3"/>
  <c r="W40" i="3"/>
  <c r="W54" i="3"/>
  <c r="W42" i="3"/>
  <c r="W45" i="3"/>
  <c r="W55" i="3"/>
  <c r="W43" i="3"/>
  <c r="W56" i="3"/>
  <c r="W44" i="3"/>
  <c r="W59" i="3"/>
  <c r="W28" i="3"/>
  <c r="Y28" i="3" s="1"/>
  <c r="W36" i="3"/>
  <c r="W37" i="3"/>
  <c r="N16" i="2"/>
  <c r="N18" i="2"/>
  <c r="H61" i="7" s="1"/>
  <c r="N14" i="2"/>
  <c r="I29" i="3" s="1"/>
  <c r="N15" i="2"/>
  <c r="H121" i="1" s="1"/>
  <c r="H64" i="7"/>
  <c r="H49" i="1" s="1"/>
  <c r="H38" i="7"/>
  <c r="D29" i="3"/>
  <c r="D30" i="3" s="1"/>
  <c r="I31" i="3"/>
  <c r="D40" i="3"/>
  <c r="J50" i="6"/>
  <c r="M48" i="6"/>
  <c r="J49" i="6"/>
  <c r="M47" i="6"/>
  <c r="AB77" i="1"/>
  <c r="AE77" i="1" s="1"/>
  <c r="AF77" i="1" s="1"/>
  <c r="AG77" i="1" s="1"/>
  <c r="AB76" i="1"/>
  <c r="AE76" i="1" s="1"/>
  <c r="AF76" i="1" s="1"/>
  <c r="AG76" i="1" s="1"/>
  <c r="AB73" i="1"/>
  <c r="AB75" i="1"/>
  <c r="AE75" i="1" s="1"/>
  <c r="AF75" i="1" s="1"/>
  <c r="AG75" i="1" s="1"/>
  <c r="AB72" i="1"/>
  <c r="AB79" i="1"/>
  <c r="AE79" i="1" s="1"/>
  <c r="AF79" i="1" s="1"/>
  <c r="AG79" i="1" s="1"/>
  <c r="AB80" i="1"/>
  <c r="AE80" i="1" s="1"/>
  <c r="AF80" i="1" s="1"/>
  <c r="AG80" i="1" s="1"/>
  <c r="AB78" i="1"/>
  <c r="AE78" i="1" s="1"/>
  <c r="AF78" i="1" s="1"/>
  <c r="AG78" i="1" s="1"/>
  <c r="AB74" i="1"/>
  <c r="AE74" i="1" s="1"/>
  <c r="AF74" i="1" s="1"/>
  <c r="AG74" i="1" s="1"/>
  <c r="F15" i="4"/>
  <c r="J15" i="4" s="1"/>
  <c r="M15" i="4" s="1"/>
  <c r="H18" i="4" s="1"/>
  <c r="H57" i="7" s="1"/>
  <c r="I41" i="3"/>
  <c r="I40" i="3"/>
  <c r="AH95" i="3"/>
  <c r="Y46" i="3"/>
  <c r="Z47" i="3"/>
  <c r="Z48" i="3" s="1"/>
  <c r="Z49" i="3" s="1"/>
  <c r="Z50" i="3" s="1"/>
  <c r="Z51" i="3" s="1"/>
  <c r="Z52" i="3" s="1"/>
  <c r="Z53" i="3" s="1"/>
  <c r="X95" i="3"/>
  <c r="Y95" i="3"/>
  <c r="W94" i="3"/>
  <c r="AH94" i="3" s="1"/>
  <c r="W34" i="3"/>
  <c r="Y34" i="3" s="1"/>
  <c r="W93" i="3"/>
  <c r="AH93" i="3" s="1"/>
  <c r="W92" i="3"/>
  <c r="W81" i="3"/>
  <c r="W84" i="3"/>
  <c r="W98" i="3"/>
  <c r="AH98" i="3" s="1"/>
  <c r="G14" i="4"/>
  <c r="W80" i="3"/>
  <c r="W33" i="3"/>
  <c r="Y33" i="3" s="1"/>
  <c r="W57" i="3"/>
  <c r="W32" i="3"/>
  <c r="Y32" i="3" s="1"/>
  <c r="W52" i="3"/>
  <c r="W79" i="3"/>
  <c r="W31" i="3"/>
  <c r="Y31" i="3" s="1"/>
  <c r="W51" i="3"/>
  <c r="W78" i="3"/>
  <c r="W30" i="3"/>
  <c r="Y30" i="3" s="1"/>
  <c r="W50" i="3"/>
  <c r="W77" i="3"/>
  <c r="W75" i="3"/>
  <c r="W29" i="3"/>
  <c r="Y29" i="3" s="1"/>
  <c r="W49" i="3"/>
  <c r="W76" i="3"/>
  <c r="W38" i="3"/>
  <c r="Y38" i="3" s="1"/>
  <c r="W48" i="3"/>
  <c r="W35" i="3"/>
  <c r="Y35" i="3" s="1"/>
  <c r="W60" i="3"/>
  <c r="W47" i="3"/>
  <c r="W74" i="3"/>
  <c r="W58" i="3"/>
  <c r="B25" i="2"/>
  <c r="C25" i="2" s="1"/>
  <c r="B24" i="2"/>
  <c r="C24" i="2" s="1"/>
  <c r="B23" i="2"/>
  <c r="C23" i="2" s="1"/>
  <c r="B22" i="2"/>
  <c r="C22" i="2" s="1"/>
  <c r="H44" i="2"/>
  <c r="F44" i="2" s="1"/>
  <c r="F50" i="2"/>
  <c r="H42" i="2"/>
  <c r="F42" i="2" s="1"/>
  <c r="H25" i="2"/>
  <c r="F25" i="2" s="1"/>
  <c r="H26" i="2"/>
  <c r="F26" i="2" s="1"/>
  <c r="H29" i="2"/>
  <c r="F29" i="2" s="1"/>
  <c r="H32" i="2"/>
  <c r="F32" i="2" s="1"/>
  <c r="K40" i="7" l="1"/>
  <c r="K41" i="7"/>
  <c r="X46" i="3"/>
  <c r="X97" i="3"/>
  <c r="AH97" i="3"/>
  <c r="Y97" i="3"/>
  <c r="Y96" i="3"/>
  <c r="AH96" i="3"/>
  <c r="X96" i="3"/>
  <c r="Y88" i="3"/>
  <c r="X88" i="3"/>
  <c r="AH88" i="3"/>
  <c r="AH85" i="3"/>
  <c r="X85" i="3"/>
  <c r="Y85" i="3"/>
  <c r="Y89" i="3"/>
  <c r="AH89" i="3"/>
  <c r="X89" i="3"/>
  <c r="Y87" i="3"/>
  <c r="X87" i="3"/>
  <c r="AH87" i="3"/>
  <c r="X91" i="3"/>
  <c r="AH91" i="3"/>
  <c r="Y91" i="3"/>
  <c r="Y86" i="3"/>
  <c r="X86" i="3"/>
  <c r="AH86" i="3"/>
  <c r="AH90" i="3"/>
  <c r="X90" i="3"/>
  <c r="Y90" i="3"/>
  <c r="Y73" i="3"/>
  <c r="AF73" i="3" s="1"/>
  <c r="AB73" i="3" s="1"/>
  <c r="AD73" i="3" s="1"/>
  <c r="AH73" i="3"/>
  <c r="AH72" i="3"/>
  <c r="Y72" i="3"/>
  <c r="X72" i="3"/>
  <c r="X67" i="3"/>
  <c r="Y67" i="3"/>
  <c r="AH67" i="3"/>
  <c r="X65" i="3"/>
  <c r="AH65" i="3"/>
  <c r="Y65" i="3"/>
  <c r="AH64" i="3"/>
  <c r="X64" i="3"/>
  <c r="Y64" i="3"/>
  <c r="AH70" i="3"/>
  <c r="Y70" i="3"/>
  <c r="X70" i="3"/>
  <c r="Y71" i="3"/>
  <c r="AH71" i="3"/>
  <c r="X71" i="3"/>
  <c r="AH69" i="3"/>
  <c r="X69" i="3"/>
  <c r="Y69" i="3"/>
  <c r="AH63" i="3"/>
  <c r="X63" i="3"/>
  <c r="Y63" i="3"/>
  <c r="Y66" i="3"/>
  <c r="X66" i="3"/>
  <c r="AH66" i="3"/>
  <c r="X68" i="3"/>
  <c r="AH68" i="3"/>
  <c r="Y68" i="3"/>
  <c r="X62" i="3"/>
  <c r="Y62" i="3"/>
  <c r="AH62" i="3"/>
  <c r="Y45" i="3"/>
  <c r="AH45" i="3"/>
  <c r="X45" i="3"/>
  <c r="AH59" i="3"/>
  <c r="Y59" i="3"/>
  <c r="X42" i="3"/>
  <c r="AH42" i="3"/>
  <c r="Y42" i="3"/>
  <c r="Z54" i="3"/>
  <c r="X54" i="3" s="1"/>
  <c r="AH44" i="3"/>
  <c r="Y44" i="3"/>
  <c r="X44" i="3"/>
  <c r="AH54" i="3"/>
  <c r="Y54" i="3"/>
  <c r="Y56" i="3"/>
  <c r="AH56" i="3"/>
  <c r="X40" i="3"/>
  <c r="AH40" i="3"/>
  <c r="Y40" i="3"/>
  <c r="AH43" i="3"/>
  <c r="X43" i="3"/>
  <c r="Y43" i="3"/>
  <c r="AH41" i="3"/>
  <c r="X41" i="3"/>
  <c r="Y41" i="3"/>
  <c r="Y55" i="3"/>
  <c r="AH55" i="3"/>
  <c r="Y53" i="3"/>
  <c r="X53" i="3"/>
  <c r="AH53" i="3"/>
  <c r="AH28" i="3"/>
  <c r="X28" i="3"/>
  <c r="X36" i="3"/>
  <c r="Y36" i="3"/>
  <c r="AH36" i="3"/>
  <c r="X37" i="3"/>
  <c r="AH37" i="3"/>
  <c r="Y37" i="3"/>
  <c r="AG28" i="3"/>
  <c r="AC28" i="3" s="1"/>
  <c r="AE28" i="3" s="1"/>
  <c r="AF28" i="3"/>
  <c r="AB28" i="3" s="1"/>
  <c r="AD28" i="3" s="1"/>
  <c r="H33" i="7"/>
  <c r="D10" i="6" s="1"/>
  <c r="H49" i="7"/>
  <c r="H45" i="7"/>
  <c r="H26" i="1" s="1"/>
  <c r="H24" i="1"/>
  <c r="E23" i="3" s="1"/>
  <c r="H46" i="7"/>
  <c r="H27" i="1" s="1"/>
  <c r="AH76" i="1"/>
  <c r="AH77" i="1"/>
  <c r="AH75" i="1"/>
  <c r="AH78" i="1"/>
  <c r="AH79" i="1"/>
  <c r="AH80" i="1"/>
  <c r="J51" i="6"/>
  <c r="M49" i="6"/>
  <c r="J52" i="6"/>
  <c r="M50" i="6"/>
  <c r="J14" i="4"/>
  <c r="T35" i="1"/>
  <c r="S35" i="1" s="1"/>
  <c r="U35" i="1" s="1"/>
  <c r="H63" i="7"/>
  <c r="H48" i="1" s="1"/>
  <c r="H46" i="1"/>
  <c r="I42" i="3"/>
  <c r="I43" i="3" s="1"/>
  <c r="AH35" i="3"/>
  <c r="Y77" i="3"/>
  <c r="AH77" i="3"/>
  <c r="AH32" i="3"/>
  <c r="Y50" i="3"/>
  <c r="AH50" i="3"/>
  <c r="AF95" i="3"/>
  <c r="AB95" i="3" s="1"/>
  <c r="AD95" i="3" s="1"/>
  <c r="AG95" i="3"/>
  <c r="Y79" i="3"/>
  <c r="AH79" i="3"/>
  <c r="Y52" i="3"/>
  <c r="AH52" i="3"/>
  <c r="AH33" i="3"/>
  <c r="AF46" i="3"/>
  <c r="AB46" i="3" s="1"/>
  <c r="AD46" i="3" s="1"/>
  <c r="AG46" i="3"/>
  <c r="Y48" i="3"/>
  <c r="AH48" i="3"/>
  <c r="AH38" i="3"/>
  <c r="Y57" i="3"/>
  <c r="AH57" i="3"/>
  <c r="Y84" i="3"/>
  <c r="AH84" i="3"/>
  <c r="Y78" i="3"/>
  <c r="AH78" i="3"/>
  <c r="Y58" i="3"/>
  <c r="AH58" i="3"/>
  <c r="Y49" i="3"/>
  <c r="AH49" i="3"/>
  <c r="Y51" i="3"/>
  <c r="AH51" i="3"/>
  <c r="X92" i="3"/>
  <c r="AH92" i="3"/>
  <c r="Y47" i="3"/>
  <c r="AH47" i="3"/>
  <c r="Y75" i="3"/>
  <c r="AH75" i="3"/>
  <c r="Y60" i="3"/>
  <c r="AH60" i="3"/>
  <c r="AH30" i="3"/>
  <c r="Y76" i="3"/>
  <c r="AH76" i="3"/>
  <c r="Y81" i="3"/>
  <c r="AH81" i="3"/>
  <c r="Y74" i="3"/>
  <c r="AH74" i="3"/>
  <c r="AH29" i="3"/>
  <c r="AH31" i="3"/>
  <c r="Y80" i="3"/>
  <c r="AH80" i="3"/>
  <c r="AH34" i="3"/>
  <c r="X84" i="3"/>
  <c r="X93" i="3"/>
  <c r="Y93" i="3"/>
  <c r="Y92" i="3"/>
  <c r="X98" i="3"/>
  <c r="Y98" i="3"/>
  <c r="X94" i="3"/>
  <c r="Y94" i="3"/>
  <c r="X74" i="3"/>
  <c r="X47" i="3"/>
  <c r="X30" i="3"/>
  <c r="X29" i="3"/>
  <c r="AF96" i="3" l="1"/>
  <c r="AB96" i="3" s="1"/>
  <c r="AD96" i="3" s="1"/>
  <c r="AG96" i="3"/>
  <c r="AC96" i="3" s="1"/>
  <c r="AE96" i="3" s="1"/>
  <c r="AG97" i="3"/>
  <c r="AC97" i="3" s="1"/>
  <c r="AE97" i="3" s="1"/>
  <c r="AF97" i="3"/>
  <c r="AB97" i="3" s="1"/>
  <c r="AD97" i="3" s="1"/>
  <c r="AG86" i="3"/>
  <c r="AC86" i="3" s="1"/>
  <c r="AE86" i="3" s="1"/>
  <c r="AF86" i="3"/>
  <c r="AB86" i="3" s="1"/>
  <c r="AD86" i="3" s="1"/>
  <c r="AG85" i="3"/>
  <c r="AF85" i="3"/>
  <c r="AB85" i="3" s="1"/>
  <c r="AD85" i="3" s="1"/>
  <c r="AF90" i="3"/>
  <c r="AB90" i="3" s="1"/>
  <c r="AD90" i="3" s="1"/>
  <c r="AG90" i="3"/>
  <c r="AF91" i="3"/>
  <c r="AG91" i="3"/>
  <c r="AC91" i="3" s="1"/>
  <c r="AE91" i="3" s="1"/>
  <c r="AF89" i="3"/>
  <c r="AB89" i="3" s="1"/>
  <c r="AD89" i="3" s="1"/>
  <c r="AG89" i="3"/>
  <c r="AC89" i="3" s="1"/>
  <c r="AE89" i="3" s="1"/>
  <c r="AF87" i="3"/>
  <c r="AG87" i="3"/>
  <c r="AF88" i="3"/>
  <c r="AB88" i="3" s="1"/>
  <c r="AD88" i="3" s="1"/>
  <c r="AG88" i="3"/>
  <c r="AC88" i="3" s="1"/>
  <c r="AE88" i="3" s="1"/>
  <c r="AG73" i="3"/>
  <c r="AJ73" i="3" s="1"/>
  <c r="AG69" i="3"/>
  <c r="AF69" i="3"/>
  <c r="AB69" i="3" s="1"/>
  <c r="AD69" i="3" s="1"/>
  <c r="AF67" i="3"/>
  <c r="AB67" i="3" s="1"/>
  <c r="AD67" i="3" s="1"/>
  <c r="AG67" i="3"/>
  <c r="AC67" i="3" s="1"/>
  <c r="AE67" i="3" s="1"/>
  <c r="AF64" i="3"/>
  <c r="AG64" i="3"/>
  <c r="AC64" i="3" s="1"/>
  <c r="AE64" i="3" s="1"/>
  <c r="AG72" i="3"/>
  <c r="AC72" i="3" s="1"/>
  <c r="AE72" i="3" s="1"/>
  <c r="AF72" i="3"/>
  <c r="AF66" i="3"/>
  <c r="AB66" i="3" s="1"/>
  <c r="AD66" i="3" s="1"/>
  <c r="AG66" i="3"/>
  <c r="AC66" i="3" s="1"/>
  <c r="AE66" i="3" s="1"/>
  <c r="AF65" i="3"/>
  <c r="AB65" i="3" s="1"/>
  <c r="AD65" i="3" s="1"/>
  <c r="AG65" i="3"/>
  <c r="AF62" i="3"/>
  <c r="AB62" i="3" s="1"/>
  <c r="AD62" i="3" s="1"/>
  <c r="AG62" i="3"/>
  <c r="AC62" i="3" s="1"/>
  <c r="AE62" i="3" s="1"/>
  <c r="AF63" i="3"/>
  <c r="AB63" i="3" s="1"/>
  <c r="AD63" i="3" s="1"/>
  <c r="AG63" i="3"/>
  <c r="AC63" i="3" s="1"/>
  <c r="AE63" i="3" s="1"/>
  <c r="AF71" i="3"/>
  <c r="AB71" i="3" s="1"/>
  <c r="AD71" i="3" s="1"/>
  <c r="AG71" i="3"/>
  <c r="AC71" i="3" s="1"/>
  <c r="AE71" i="3" s="1"/>
  <c r="AG68" i="3"/>
  <c r="AC68" i="3" s="1"/>
  <c r="AE68" i="3" s="1"/>
  <c r="AF68" i="3"/>
  <c r="AG70" i="3"/>
  <c r="AC70" i="3" s="1"/>
  <c r="AE70" i="3" s="1"/>
  <c r="AF70" i="3"/>
  <c r="AB70" i="3" s="1"/>
  <c r="AD70" i="3" s="1"/>
  <c r="AG43" i="3"/>
  <c r="AC43" i="3" s="1"/>
  <c r="AE43" i="3" s="1"/>
  <c r="AF43" i="3"/>
  <c r="AB43" i="3" s="1"/>
  <c r="AD43" i="3" s="1"/>
  <c r="AF56" i="3"/>
  <c r="AI56" i="3" s="1"/>
  <c r="AG56" i="3"/>
  <c r="AJ56" i="3" s="1"/>
  <c r="Z55" i="3"/>
  <c r="AG53" i="3"/>
  <c r="AF53" i="3"/>
  <c r="AB53" i="3" s="1"/>
  <c r="AD53" i="3" s="1"/>
  <c r="AF54" i="3"/>
  <c r="AI54" i="3" s="1"/>
  <c r="AG54" i="3"/>
  <c r="AC54" i="3" s="1"/>
  <c r="AE54" i="3" s="1"/>
  <c r="AF42" i="3"/>
  <c r="AB42" i="3" s="1"/>
  <c r="AD42" i="3" s="1"/>
  <c r="AG42" i="3"/>
  <c r="AF59" i="3"/>
  <c r="AG59" i="3"/>
  <c r="AJ59" i="3" s="1"/>
  <c r="AF40" i="3"/>
  <c r="AB40" i="3" s="1"/>
  <c r="AD40" i="3" s="1"/>
  <c r="AG40" i="3"/>
  <c r="AG55" i="3"/>
  <c r="AJ55" i="3" s="1"/>
  <c r="AF55" i="3"/>
  <c r="AI55" i="3" s="1"/>
  <c r="AF41" i="3"/>
  <c r="AG41" i="3"/>
  <c r="AC41" i="3" s="1"/>
  <c r="AE41" i="3" s="1"/>
  <c r="AF44" i="3"/>
  <c r="AB44" i="3" s="1"/>
  <c r="AD44" i="3" s="1"/>
  <c r="AG44" i="3"/>
  <c r="AF45" i="3"/>
  <c r="AG45" i="3"/>
  <c r="AC45" i="3" s="1"/>
  <c r="AE45" i="3" s="1"/>
  <c r="AF37" i="3"/>
  <c r="AB37" i="3" s="1"/>
  <c r="AD37" i="3" s="1"/>
  <c r="AG37" i="3"/>
  <c r="AC37" i="3" s="1"/>
  <c r="AE37" i="3" s="1"/>
  <c r="AF36" i="3"/>
  <c r="AB36" i="3" s="1"/>
  <c r="AD36" i="3" s="1"/>
  <c r="AG36" i="3"/>
  <c r="AI28" i="3"/>
  <c r="AR28" i="3" s="1"/>
  <c r="AS28" i="3" s="1"/>
  <c r="AJ28" i="3"/>
  <c r="AZ28" i="3" s="1"/>
  <c r="BA28" i="3" s="1"/>
  <c r="AO74" i="7"/>
  <c r="AS76" i="7" s="1"/>
  <c r="H19" i="1"/>
  <c r="H113" i="1" s="1"/>
  <c r="K49" i="7"/>
  <c r="H29" i="1"/>
  <c r="AC73" i="3"/>
  <c r="X31" i="3"/>
  <c r="AJ46" i="3"/>
  <c r="AC46" i="3"/>
  <c r="AJ95" i="3"/>
  <c r="AC95" i="3"/>
  <c r="AE95" i="3" s="1"/>
  <c r="X48" i="3"/>
  <c r="H102" i="1"/>
  <c r="H87" i="7" s="1"/>
  <c r="H106" i="1"/>
  <c r="H90" i="7" s="1"/>
  <c r="D16" i="5"/>
  <c r="J95" i="6"/>
  <c r="J96" i="6" s="1"/>
  <c r="M14" i="4"/>
  <c r="H17" i="4" s="1"/>
  <c r="H20" i="4" s="1"/>
  <c r="J54" i="6"/>
  <c r="M52" i="6"/>
  <c r="J53" i="6"/>
  <c r="M51" i="6"/>
  <c r="J61" i="6"/>
  <c r="M61" i="6" s="1"/>
  <c r="J68" i="6" s="1"/>
  <c r="J62" i="6"/>
  <c r="D41" i="3"/>
  <c r="H47" i="7" s="1"/>
  <c r="H42" i="1"/>
  <c r="T39" i="1"/>
  <c r="S39" i="1" s="1"/>
  <c r="U39" i="1" s="1"/>
  <c r="D53" i="3"/>
  <c r="AI73" i="3"/>
  <c r="AL73" i="3" s="1"/>
  <c r="AM73" i="3" s="1"/>
  <c r="AF58" i="3"/>
  <c r="AI58" i="3" s="1"/>
  <c r="AG58" i="3"/>
  <c r="AJ58" i="3" s="1"/>
  <c r="AF38" i="3"/>
  <c r="AI38" i="3" s="1"/>
  <c r="AG38" i="3"/>
  <c r="AJ38" i="3" s="1"/>
  <c r="AF52" i="3"/>
  <c r="AI52" i="3" s="1"/>
  <c r="AG52" i="3"/>
  <c r="AJ52" i="3" s="1"/>
  <c r="AF60" i="3"/>
  <c r="AI60" i="3" s="1"/>
  <c r="AG60" i="3"/>
  <c r="AJ60" i="3" s="1"/>
  <c r="AF78" i="3"/>
  <c r="AI78" i="3" s="1"/>
  <c r="AG78" i="3"/>
  <c r="AJ78" i="3" s="1"/>
  <c r="AF33" i="3"/>
  <c r="AI33" i="3" s="1"/>
  <c r="AG33" i="3"/>
  <c r="AJ33" i="3" s="1"/>
  <c r="AF31" i="3"/>
  <c r="AI31" i="3" s="1"/>
  <c r="AG31" i="3"/>
  <c r="AJ31" i="3" s="1"/>
  <c r="AF76" i="3"/>
  <c r="AI76" i="3" s="1"/>
  <c r="AG76" i="3"/>
  <c r="AJ76" i="3" s="1"/>
  <c r="AF75" i="3"/>
  <c r="AB75" i="3" s="1"/>
  <c r="AD75" i="3" s="1"/>
  <c r="AG75" i="3"/>
  <c r="AJ75" i="3" s="1"/>
  <c r="AF50" i="3"/>
  <c r="AI50" i="3" s="1"/>
  <c r="AG50" i="3"/>
  <c r="AJ50" i="3" s="1"/>
  <c r="AF32" i="3"/>
  <c r="AI32" i="3" s="1"/>
  <c r="AG32" i="3"/>
  <c r="AJ32" i="3" s="1"/>
  <c r="AF80" i="3"/>
  <c r="AI80" i="3" s="1"/>
  <c r="AG80" i="3"/>
  <c r="AJ80" i="3" s="1"/>
  <c r="AF51" i="3"/>
  <c r="AI51" i="3" s="1"/>
  <c r="AG51" i="3"/>
  <c r="AJ51" i="3" s="1"/>
  <c r="AF84" i="3"/>
  <c r="AB84" i="3" s="1"/>
  <c r="AD84" i="3" s="1"/>
  <c r="AG84" i="3"/>
  <c r="AF48" i="3"/>
  <c r="AI48" i="3" s="1"/>
  <c r="AG48" i="3"/>
  <c r="AJ48" i="3" s="1"/>
  <c r="AF74" i="3"/>
  <c r="AB74" i="3" s="1"/>
  <c r="AD74" i="3" s="1"/>
  <c r="AG74" i="3"/>
  <c r="AF94" i="3"/>
  <c r="AB94" i="3" s="1"/>
  <c r="AD94" i="3" s="1"/>
  <c r="AG94" i="3"/>
  <c r="AF81" i="3"/>
  <c r="AI81" i="3" s="1"/>
  <c r="AG81" i="3"/>
  <c r="AJ81" i="3" s="1"/>
  <c r="AF79" i="3"/>
  <c r="AI79" i="3" s="1"/>
  <c r="AG79" i="3"/>
  <c r="AJ79" i="3" s="1"/>
  <c r="X75" i="3"/>
  <c r="AF92" i="3"/>
  <c r="AB92" i="3" s="1"/>
  <c r="AD92" i="3" s="1"/>
  <c r="AG92" i="3"/>
  <c r="AF29" i="3"/>
  <c r="AB29" i="3" s="1"/>
  <c r="AD29" i="3" s="1"/>
  <c r="AG29" i="3"/>
  <c r="AF30" i="3"/>
  <c r="AB30" i="3" s="1"/>
  <c r="AD30" i="3" s="1"/>
  <c r="AG30" i="3"/>
  <c r="AF47" i="3"/>
  <c r="AB47" i="3" s="1"/>
  <c r="AD47" i="3" s="1"/>
  <c r="AG47" i="3"/>
  <c r="AI46" i="3"/>
  <c r="AL46" i="3" s="1"/>
  <c r="AM46" i="3" s="1"/>
  <c r="AF77" i="3"/>
  <c r="AI77" i="3" s="1"/>
  <c r="AG77" i="3"/>
  <c r="AJ77" i="3" s="1"/>
  <c r="AF34" i="3"/>
  <c r="AI34" i="3" s="1"/>
  <c r="AG34" i="3"/>
  <c r="AJ34" i="3" s="1"/>
  <c r="AF98" i="3"/>
  <c r="AB98" i="3" s="1"/>
  <c r="AD98" i="3" s="1"/>
  <c r="AG98" i="3"/>
  <c r="AF93" i="3"/>
  <c r="AB93" i="3" s="1"/>
  <c r="AD93" i="3" s="1"/>
  <c r="AG93" i="3"/>
  <c r="AF49" i="3"/>
  <c r="AI49" i="3" s="1"/>
  <c r="AG49" i="3"/>
  <c r="AJ49" i="3" s="1"/>
  <c r="AF57" i="3"/>
  <c r="AI57" i="3" s="1"/>
  <c r="AG57" i="3"/>
  <c r="AJ57" i="3" s="1"/>
  <c r="AI95" i="3"/>
  <c r="AL95" i="3" s="1"/>
  <c r="AM95" i="3" s="1"/>
  <c r="AF35" i="3"/>
  <c r="AI35" i="3" s="1"/>
  <c r="AG35" i="3"/>
  <c r="AJ35" i="3" s="1"/>
  <c r="K29" i="1" l="1"/>
  <c r="AI96" i="3"/>
  <c r="AX96" i="3" s="1"/>
  <c r="AY96" i="3" s="1"/>
  <c r="AJ63" i="3"/>
  <c r="AZ63" i="3" s="1"/>
  <c r="BA63" i="3" s="1"/>
  <c r="AJ86" i="3"/>
  <c r="AT86" i="3" s="1"/>
  <c r="AU86" i="3" s="1"/>
  <c r="AJ91" i="3"/>
  <c r="AT91" i="3" s="1"/>
  <c r="AU91" i="3" s="1"/>
  <c r="AJ96" i="3"/>
  <c r="AN96" i="3" s="1"/>
  <c r="AO96" i="3" s="1"/>
  <c r="AI88" i="3"/>
  <c r="AR88" i="3" s="1"/>
  <c r="AS88" i="3" s="1"/>
  <c r="AI97" i="3"/>
  <c r="AL97" i="3" s="1"/>
  <c r="AM97" i="3" s="1"/>
  <c r="AJ97" i="3"/>
  <c r="AN97" i="3" s="1"/>
  <c r="AO97" i="3" s="1"/>
  <c r="H116" i="1"/>
  <c r="AI65" i="3"/>
  <c r="AR65" i="3" s="1"/>
  <c r="AS65" i="3" s="1"/>
  <c r="AJ88" i="3"/>
  <c r="AZ88" i="3" s="1"/>
  <c r="BA88" i="3" s="1"/>
  <c r="AJ87" i="3"/>
  <c r="AC87" i="3"/>
  <c r="AE87" i="3" s="1"/>
  <c r="AI89" i="3"/>
  <c r="AR89" i="3" s="1"/>
  <c r="AS89" i="3" s="1"/>
  <c r="AJ85" i="3"/>
  <c r="AC85" i="3"/>
  <c r="AE85" i="3" s="1"/>
  <c r="AI87" i="3"/>
  <c r="AB87" i="3"/>
  <c r="AD87" i="3" s="1"/>
  <c r="AI90" i="3"/>
  <c r="AR90" i="3" s="1"/>
  <c r="AS90" i="3" s="1"/>
  <c r="AI85" i="3"/>
  <c r="AX85" i="3" s="1"/>
  <c r="AY85" i="3" s="1"/>
  <c r="AI91" i="3"/>
  <c r="AB91" i="3"/>
  <c r="AD91" i="3" s="1"/>
  <c r="AJ89" i="3"/>
  <c r="AZ89" i="3" s="1"/>
  <c r="BA89" i="3" s="1"/>
  <c r="AJ90" i="3"/>
  <c r="AC90" i="3"/>
  <c r="AE90" i="3" s="1"/>
  <c r="AI86" i="3"/>
  <c r="AX86" i="3" s="1"/>
  <c r="AY86" i="3" s="1"/>
  <c r="AI63" i="3"/>
  <c r="AL63" i="3" s="1"/>
  <c r="AM63" i="3" s="1"/>
  <c r="AI43" i="3"/>
  <c r="AR43" i="3" s="1"/>
  <c r="AS43" i="3" s="1"/>
  <c r="AJ62" i="3"/>
  <c r="AT62" i="3" s="1"/>
  <c r="AU62" i="3" s="1"/>
  <c r="AJ70" i="3"/>
  <c r="AT70" i="3" s="1"/>
  <c r="AU70" i="3" s="1"/>
  <c r="AJ72" i="3"/>
  <c r="AT72" i="3" s="1"/>
  <c r="AU72" i="3" s="1"/>
  <c r="AJ71" i="3"/>
  <c r="AN71" i="3" s="1"/>
  <c r="AO71" i="3" s="1"/>
  <c r="AN63" i="3"/>
  <c r="AO63" i="3" s="1"/>
  <c r="AT63" i="3"/>
  <c r="AU63" i="3" s="1"/>
  <c r="AI68" i="3"/>
  <c r="AB68" i="3"/>
  <c r="AD68" i="3" s="1"/>
  <c r="AI72" i="3"/>
  <c r="AB72" i="3"/>
  <c r="AD72" i="3" s="1"/>
  <c r="AJ67" i="3"/>
  <c r="AN67" i="3" s="1"/>
  <c r="AO67" i="3" s="1"/>
  <c r="AJ65" i="3"/>
  <c r="AC65" i="3"/>
  <c r="AE65" i="3" s="1"/>
  <c r="AJ64" i="3"/>
  <c r="AT64" i="3" s="1"/>
  <c r="AU64" i="3" s="1"/>
  <c r="AI67" i="3"/>
  <c r="AL67" i="3" s="1"/>
  <c r="AM67" i="3" s="1"/>
  <c r="AI70" i="3"/>
  <c r="AL70" i="3" s="1"/>
  <c r="AM70" i="3" s="1"/>
  <c r="AJ66" i="3"/>
  <c r="AN66" i="3" s="1"/>
  <c r="AO66" i="3" s="1"/>
  <c r="AI71" i="3"/>
  <c r="AX71" i="3" s="1"/>
  <c r="AY71" i="3" s="1"/>
  <c r="AI62" i="3"/>
  <c r="AL62" i="3" s="1"/>
  <c r="AM62" i="3" s="1"/>
  <c r="AI66" i="3"/>
  <c r="AX66" i="3" s="1"/>
  <c r="AY66" i="3" s="1"/>
  <c r="AI64" i="3"/>
  <c r="AB64" i="3"/>
  <c r="AD64" i="3" s="1"/>
  <c r="AI69" i="3"/>
  <c r="AR69" i="3" s="1"/>
  <c r="AS69" i="3" s="1"/>
  <c r="AJ68" i="3"/>
  <c r="AZ68" i="3" s="1"/>
  <c r="BA68" i="3" s="1"/>
  <c r="AJ69" i="3"/>
  <c r="AC69" i="3"/>
  <c r="AE69" i="3" s="1"/>
  <c r="AJ45" i="3"/>
  <c r="AN45" i="3" s="1"/>
  <c r="AO45" i="3" s="1"/>
  <c r="AJ43" i="3"/>
  <c r="AN43" i="3" s="1"/>
  <c r="AO43" i="3" s="1"/>
  <c r="AI44" i="3"/>
  <c r="AR44" i="3" s="1"/>
  <c r="AS44" i="3" s="1"/>
  <c r="AJ54" i="3"/>
  <c r="AN54" i="3" s="1"/>
  <c r="AO54" i="3" s="1"/>
  <c r="AI53" i="3"/>
  <c r="AL53" i="3" s="1"/>
  <c r="AM53" i="3" s="1"/>
  <c r="AJ41" i="3"/>
  <c r="AN41" i="3" s="1"/>
  <c r="AO41" i="3" s="1"/>
  <c r="AI45" i="3"/>
  <c r="AB45" i="3"/>
  <c r="AD45" i="3" s="1"/>
  <c r="Z56" i="3"/>
  <c r="AB55" i="3"/>
  <c r="AD55" i="3" s="1"/>
  <c r="AC55" i="3"/>
  <c r="AE55" i="3" s="1"/>
  <c r="X55" i="3"/>
  <c r="AI41" i="3"/>
  <c r="AB41" i="3"/>
  <c r="AD41" i="3" s="1"/>
  <c r="AJ40" i="3"/>
  <c r="AC40" i="3"/>
  <c r="AE40" i="3" s="1"/>
  <c r="AI40" i="3"/>
  <c r="AR40" i="3" s="1"/>
  <c r="AS40" i="3" s="1"/>
  <c r="AJ53" i="3"/>
  <c r="AC53" i="3"/>
  <c r="AE53" i="3" s="1"/>
  <c r="AJ44" i="3"/>
  <c r="AC44" i="3"/>
  <c r="AE44" i="3" s="1"/>
  <c r="AI59" i="3"/>
  <c r="AI42" i="3"/>
  <c r="AX42" i="3" s="1"/>
  <c r="AY42" i="3" s="1"/>
  <c r="AB54" i="3"/>
  <c r="AD54" i="3" s="1"/>
  <c r="AJ42" i="3"/>
  <c r="AC42" i="3"/>
  <c r="AE42" i="3" s="1"/>
  <c r="AI37" i="3"/>
  <c r="AL37" i="3" s="1"/>
  <c r="AM37" i="3" s="1"/>
  <c r="AI36" i="3"/>
  <c r="AL36" i="3" s="1"/>
  <c r="AM36" i="3" s="1"/>
  <c r="AJ37" i="3"/>
  <c r="AT37" i="3" s="1"/>
  <c r="AU37" i="3" s="1"/>
  <c r="AJ36" i="3"/>
  <c r="AC36" i="3"/>
  <c r="AE36" i="3" s="1"/>
  <c r="AT28" i="3"/>
  <c r="AU28" i="3" s="1"/>
  <c r="AX28" i="3"/>
  <c r="AY28" i="3" s="1"/>
  <c r="H110" i="1"/>
  <c r="H93" i="7" s="1"/>
  <c r="AE68" i="1"/>
  <c r="AD70" i="1" s="1"/>
  <c r="AD85" i="1" s="1"/>
  <c r="AN76" i="7"/>
  <c r="AN77" i="7" s="1"/>
  <c r="AO77" i="7" s="1"/>
  <c r="AT95" i="3"/>
  <c r="AU95" i="3" s="1"/>
  <c r="AN95" i="3"/>
  <c r="AO95" i="3" s="1"/>
  <c r="AE73" i="3"/>
  <c r="AZ73" i="3" s="1"/>
  <c r="BA73" i="3" s="1"/>
  <c r="AC48" i="3"/>
  <c r="AE48" i="3" s="1"/>
  <c r="AZ48" i="3" s="1"/>
  <c r="BA48" i="3" s="1"/>
  <c r="AJ98" i="3"/>
  <c r="AC98" i="3"/>
  <c r="AE98" i="3" s="1"/>
  <c r="AE46" i="3"/>
  <c r="AJ30" i="3"/>
  <c r="AC30" i="3"/>
  <c r="AJ47" i="3"/>
  <c r="AC47" i="3"/>
  <c r="AJ29" i="3"/>
  <c r="AC29" i="3"/>
  <c r="AJ84" i="3"/>
  <c r="AC84" i="3"/>
  <c r="AE84" i="3" s="1"/>
  <c r="AC76" i="3"/>
  <c r="AE76" i="3" s="1"/>
  <c r="AZ76" i="3" s="1"/>
  <c r="BA76" i="3" s="1"/>
  <c r="AJ93" i="3"/>
  <c r="AC93" i="3"/>
  <c r="AE93" i="3" s="1"/>
  <c r="AC49" i="3"/>
  <c r="AE49" i="3" s="1"/>
  <c r="AZ49" i="3" s="1"/>
  <c r="BA49" i="3" s="1"/>
  <c r="AC32" i="3"/>
  <c r="AE32" i="3" s="1"/>
  <c r="AZ32" i="3" s="1"/>
  <c r="BA32" i="3" s="1"/>
  <c r="AJ94" i="3"/>
  <c r="AC94" i="3"/>
  <c r="AE94" i="3" s="1"/>
  <c r="AZ95" i="3"/>
  <c r="BA95" i="3" s="1"/>
  <c r="AC31" i="3"/>
  <c r="AE31" i="3" s="1"/>
  <c r="AJ74" i="3"/>
  <c r="AC74" i="3"/>
  <c r="AJ92" i="3"/>
  <c r="AC92" i="3"/>
  <c r="AE92" i="3" s="1"/>
  <c r="AC75" i="3"/>
  <c r="AE75" i="3" s="1"/>
  <c r="AZ75" i="3" s="1"/>
  <c r="BA75" i="3" s="1"/>
  <c r="AK45" i="6"/>
  <c r="AJ45" i="6"/>
  <c r="AJ49" i="6" s="1"/>
  <c r="AJ46" i="6"/>
  <c r="J55" i="6"/>
  <c r="M53" i="6"/>
  <c r="J56" i="6"/>
  <c r="M54" i="6"/>
  <c r="J66" i="6"/>
  <c r="AK46" i="6" s="1"/>
  <c r="AK47" i="6" s="1"/>
  <c r="M62" i="6"/>
  <c r="AT76" i="7"/>
  <c r="AS77" i="7"/>
  <c r="AS78" i="7" s="1"/>
  <c r="AT78" i="7" s="1"/>
  <c r="S56" i="3"/>
  <c r="T42" i="1"/>
  <c r="D50" i="3"/>
  <c r="AR95" i="3"/>
  <c r="AS95" i="3" s="1"/>
  <c r="AX73" i="3"/>
  <c r="AY73" i="3" s="1"/>
  <c r="AX46" i="3"/>
  <c r="AY46" i="3" s="1"/>
  <c r="AX95" i="3"/>
  <c r="AY95" i="3" s="1"/>
  <c r="AR46" i="3"/>
  <c r="AS46" i="3" s="1"/>
  <c r="AR73" i="3"/>
  <c r="AS73" i="3" s="1"/>
  <c r="AB48" i="3"/>
  <c r="AD48" i="3" s="1"/>
  <c r="AX48" i="3" s="1"/>
  <c r="AY48" i="3" s="1"/>
  <c r="AI94" i="3"/>
  <c r="AR94" i="3" s="1"/>
  <c r="AS94" i="3" s="1"/>
  <c r="AI98" i="3"/>
  <c r="AI92" i="3"/>
  <c r="AL92" i="3" s="1"/>
  <c r="AM92" i="3" s="1"/>
  <c r="AI93" i="3"/>
  <c r="AR93" i="3" s="1"/>
  <c r="AS93" i="3" s="1"/>
  <c r="AI75" i="3"/>
  <c r="AL75" i="3" s="1"/>
  <c r="AM75" i="3" s="1"/>
  <c r="AI30" i="3"/>
  <c r="AR30" i="3" s="1"/>
  <c r="AS30" i="3" s="1"/>
  <c r="AB31" i="3"/>
  <c r="AD31" i="3" s="1"/>
  <c r="AX31" i="3" s="1"/>
  <c r="AY31" i="3" s="1"/>
  <c r="AC50" i="3"/>
  <c r="AB49" i="3"/>
  <c r="AD49" i="3" s="1"/>
  <c r="AX49" i="3" s="1"/>
  <c r="AY49" i="3" s="1"/>
  <c r="X49" i="3"/>
  <c r="AC33" i="3"/>
  <c r="AB32" i="3"/>
  <c r="AD32" i="3" s="1"/>
  <c r="AX32" i="3" s="1"/>
  <c r="AY32" i="3" s="1"/>
  <c r="X32" i="3"/>
  <c r="AI29" i="3"/>
  <c r="AL29" i="3" s="1"/>
  <c r="AM29" i="3" s="1"/>
  <c r="AI47" i="3"/>
  <c r="AL47" i="3" s="1"/>
  <c r="AM47" i="3" s="1"/>
  <c r="AI74" i="3"/>
  <c r="AL74" i="3" s="1"/>
  <c r="AM74" i="3" s="1"/>
  <c r="AI84" i="3"/>
  <c r="AL84" i="3" s="1"/>
  <c r="AM84" i="3" s="1"/>
  <c r="Z77" i="3"/>
  <c r="AC77" i="3" s="1"/>
  <c r="AB76" i="3"/>
  <c r="AD76" i="3" s="1"/>
  <c r="AX76" i="3" s="1"/>
  <c r="AY76" i="3" s="1"/>
  <c r="X76" i="3"/>
  <c r="AN91" i="3" l="1"/>
  <c r="AO91" i="3" s="1"/>
  <c r="AR96" i="3"/>
  <c r="AS96" i="3" s="1"/>
  <c r="AL96" i="3"/>
  <c r="AM96" i="3" s="1"/>
  <c r="AZ86" i="3"/>
  <c r="BA86" i="3" s="1"/>
  <c r="AN86" i="3"/>
  <c r="AO86" i="3" s="1"/>
  <c r="AX88" i="3"/>
  <c r="AY88" i="3" s="1"/>
  <c r="AN70" i="3"/>
  <c r="AO70" i="3" s="1"/>
  <c r="AT96" i="3"/>
  <c r="AU96" i="3" s="1"/>
  <c r="AZ70" i="3"/>
  <c r="BA70" i="3" s="1"/>
  <c r="AZ91" i="3"/>
  <c r="BA91" i="3" s="1"/>
  <c r="AR97" i="3"/>
  <c r="AS97" i="3" s="1"/>
  <c r="AX97" i="3"/>
  <c r="AY97" i="3" s="1"/>
  <c r="AZ96" i="3"/>
  <c r="BA96" i="3" s="1"/>
  <c r="AL88" i="3"/>
  <c r="AM88" i="3" s="1"/>
  <c r="AT97" i="3"/>
  <c r="AU97" i="3" s="1"/>
  <c r="AZ97" i="3"/>
  <c r="BA97" i="3" s="1"/>
  <c r="AN62" i="3"/>
  <c r="AO62" i="3" s="1"/>
  <c r="AZ62" i="3"/>
  <c r="BA62" i="3" s="1"/>
  <c r="AN88" i="3"/>
  <c r="AO88" i="3" s="1"/>
  <c r="AL65" i="3"/>
  <c r="AM65" i="3" s="1"/>
  <c r="AX65" i="3"/>
  <c r="AY65" i="3" s="1"/>
  <c r="AL43" i="3"/>
  <c r="AM43" i="3" s="1"/>
  <c r="AT88" i="3"/>
  <c r="AU88" i="3" s="1"/>
  <c r="AT45" i="3"/>
  <c r="AU45" i="3" s="1"/>
  <c r="AX43" i="3"/>
  <c r="AY43" i="3" s="1"/>
  <c r="AX63" i="3"/>
  <c r="AY63" i="3" s="1"/>
  <c r="AL90" i="3"/>
  <c r="AM90" i="3" s="1"/>
  <c r="AR63" i="3"/>
  <c r="AS63" i="3" s="1"/>
  <c r="AR86" i="3"/>
  <c r="AS86" i="3" s="1"/>
  <c r="AZ45" i="3"/>
  <c r="BA45" i="3" s="1"/>
  <c r="AR91" i="3"/>
  <c r="AS91" i="3" s="1"/>
  <c r="AX91" i="3"/>
  <c r="AY91" i="3" s="1"/>
  <c r="AL91" i="3"/>
  <c r="AM91" i="3" s="1"/>
  <c r="AL86" i="3"/>
  <c r="AM86" i="3" s="1"/>
  <c r="AR87" i="3"/>
  <c r="AS87" i="3" s="1"/>
  <c r="AL87" i="3"/>
  <c r="AM87" i="3" s="1"/>
  <c r="AX87" i="3"/>
  <c r="AY87" i="3" s="1"/>
  <c r="AX90" i="3"/>
  <c r="AY90" i="3" s="1"/>
  <c r="AL89" i="3"/>
  <c r="AM89" i="3" s="1"/>
  <c r="AX89" i="3"/>
  <c r="AY89" i="3" s="1"/>
  <c r="AZ85" i="3"/>
  <c r="BA85" i="3" s="1"/>
  <c r="AT85" i="3"/>
  <c r="AU85" i="3" s="1"/>
  <c r="AN85" i="3"/>
  <c r="AO85" i="3" s="1"/>
  <c r="AR85" i="3"/>
  <c r="AS85" i="3" s="1"/>
  <c r="AL85" i="3"/>
  <c r="AM85" i="3" s="1"/>
  <c r="AT89" i="3"/>
  <c r="AU89" i="3" s="1"/>
  <c r="AN89" i="3"/>
  <c r="AO89" i="3" s="1"/>
  <c r="AT90" i="3"/>
  <c r="AU90" i="3" s="1"/>
  <c r="AZ90" i="3"/>
  <c r="BA90" i="3" s="1"/>
  <c r="AN90" i="3"/>
  <c r="AO90" i="3" s="1"/>
  <c r="AZ87" i="3"/>
  <c r="BA87" i="3" s="1"/>
  <c r="AN87" i="3"/>
  <c r="AO87" i="3" s="1"/>
  <c r="AT87" i="3"/>
  <c r="AU87" i="3" s="1"/>
  <c r="AX37" i="3"/>
  <c r="AY37" i="3" s="1"/>
  <c r="AR37" i="3"/>
  <c r="AS37" i="3" s="1"/>
  <c r="AT71" i="3"/>
  <c r="AU71" i="3" s="1"/>
  <c r="AZ71" i="3"/>
  <c r="BA71" i="3" s="1"/>
  <c r="AZ72" i="3"/>
  <c r="BA72" i="3" s="1"/>
  <c r="AN72" i="3"/>
  <c r="AO72" i="3" s="1"/>
  <c r="AN64" i="3"/>
  <c r="AO64" i="3" s="1"/>
  <c r="AT66" i="3"/>
  <c r="AU66" i="3" s="1"/>
  <c r="AR62" i="3"/>
  <c r="AS62" i="3" s="1"/>
  <c r="AZ64" i="3"/>
  <c r="BA64" i="3" s="1"/>
  <c r="AT43" i="3"/>
  <c r="AU43" i="3" s="1"/>
  <c r="AZ66" i="3"/>
  <c r="BA66" i="3" s="1"/>
  <c r="AX62" i="3"/>
  <c r="AY62" i="3" s="1"/>
  <c r="AX68" i="3"/>
  <c r="AY68" i="3" s="1"/>
  <c r="AL68" i="3"/>
  <c r="AM68" i="3" s="1"/>
  <c r="AR68" i="3"/>
  <c r="AS68" i="3" s="1"/>
  <c r="AT65" i="3"/>
  <c r="AU65" i="3" s="1"/>
  <c r="AN65" i="3"/>
  <c r="AO65" i="3" s="1"/>
  <c r="AZ65" i="3"/>
  <c r="BA65" i="3" s="1"/>
  <c r="AR66" i="3"/>
  <c r="AS66" i="3" s="1"/>
  <c r="AR72" i="3"/>
  <c r="AS72" i="3" s="1"/>
  <c r="AL72" i="3"/>
  <c r="AM72" i="3" s="1"/>
  <c r="AX72" i="3"/>
  <c r="AY72" i="3" s="1"/>
  <c r="AX67" i="3"/>
  <c r="AY67" i="3" s="1"/>
  <c r="AL66" i="3"/>
  <c r="AM66" i="3" s="1"/>
  <c r="AR64" i="3"/>
  <c r="AS64" i="3" s="1"/>
  <c r="AX64" i="3"/>
  <c r="AY64" i="3" s="1"/>
  <c r="AL64" i="3"/>
  <c r="AM64" i="3" s="1"/>
  <c r="AX69" i="3"/>
  <c r="AY69" i="3" s="1"/>
  <c r="AX70" i="3"/>
  <c r="AY70" i="3" s="1"/>
  <c r="AR67" i="3"/>
  <c r="AS67" i="3" s="1"/>
  <c r="AR71" i="3"/>
  <c r="AS71" i="3" s="1"/>
  <c r="AT69" i="3"/>
  <c r="AU69" i="3" s="1"/>
  <c r="AZ69" i="3"/>
  <c r="BA69" i="3" s="1"/>
  <c r="AN69" i="3"/>
  <c r="AO69" i="3" s="1"/>
  <c r="AL69" i="3"/>
  <c r="AM69" i="3" s="1"/>
  <c r="AR70" i="3"/>
  <c r="AS70" i="3" s="1"/>
  <c r="AL71" i="3"/>
  <c r="AM71" i="3" s="1"/>
  <c r="AT67" i="3"/>
  <c r="AU67" i="3" s="1"/>
  <c r="AZ43" i="3"/>
  <c r="BA43" i="3" s="1"/>
  <c r="AT68" i="3"/>
  <c r="AU68" i="3" s="1"/>
  <c r="AZ67" i="3"/>
  <c r="BA67" i="3" s="1"/>
  <c r="AN68" i="3"/>
  <c r="AO68" i="3" s="1"/>
  <c r="AX44" i="3"/>
  <c r="AY44" i="3" s="1"/>
  <c r="AL44" i="3"/>
  <c r="AM44" i="3" s="1"/>
  <c r="AT54" i="3"/>
  <c r="AU54" i="3" s="1"/>
  <c r="AZ54" i="3"/>
  <c r="BA54" i="3" s="1"/>
  <c r="AR53" i="3"/>
  <c r="AS53" i="3" s="1"/>
  <c r="AX53" i="3"/>
  <c r="AY53" i="3" s="1"/>
  <c r="AT41" i="3"/>
  <c r="AU41" i="3" s="1"/>
  <c r="AX40" i="3"/>
  <c r="AY40" i="3" s="1"/>
  <c r="AZ41" i="3"/>
  <c r="BA41" i="3" s="1"/>
  <c r="AZ37" i="3"/>
  <c r="BA37" i="3" s="1"/>
  <c r="AT53" i="3"/>
  <c r="AU53" i="3" s="1"/>
  <c r="AN53" i="3"/>
  <c r="AO53" i="3" s="1"/>
  <c r="AZ53" i="3"/>
  <c r="BA53" i="3" s="1"/>
  <c r="AT40" i="3"/>
  <c r="AU40" i="3" s="1"/>
  <c r="AZ40" i="3"/>
  <c r="BA40" i="3" s="1"/>
  <c r="AN40" i="3"/>
  <c r="AO40" i="3" s="1"/>
  <c r="AR42" i="3"/>
  <c r="AS42" i="3" s="1"/>
  <c r="AR54" i="3"/>
  <c r="AS54" i="3" s="1"/>
  <c r="AL54" i="3"/>
  <c r="AM54" i="3" s="1"/>
  <c r="AX54" i="3"/>
  <c r="AY54" i="3" s="1"/>
  <c r="AL42" i="3"/>
  <c r="AM42" i="3" s="1"/>
  <c r="AX41" i="3"/>
  <c r="AY41" i="3" s="1"/>
  <c r="AL41" i="3"/>
  <c r="AM41" i="3" s="1"/>
  <c r="AR41" i="3"/>
  <c r="AS41" i="3" s="1"/>
  <c r="AN42" i="3"/>
  <c r="AO42" i="3" s="1"/>
  <c r="AT42" i="3"/>
  <c r="AU42" i="3" s="1"/>
  <c r="AZ42" i="3"/>
  <c r="BA42" i="3" s="1"/>
  <c r="AL40" i="3"/>
  <c r="AM40" i="3" s="1"/>
  <c r="AX45" i="3"/>
  <c r="AY45" i="3" s="1"/>
  <c r="AR45" i="3"/>
  <c r="AS45" i="3" s="1"/>
  <c r="AL45" i="3"/>
  <c r="AM45" i="3" s="1"/>
  <c r="AZ55" i="3"/>
  <c r="BA55" i="3" s="1"/>
  <c r="AN55" i="3"/>
  <c r="AO55" i="3" s="1"/>
  <c r="AT55" i="3"/>
  <c r="AU55" i="3" s="1"/>
  <c r="AL55" i="3"/>
  <c r="AM55" i="3" s="1"/>
  <c r="AX55" i="3"/>
  <c r="AY55" i="3" s="1"/>
  <c r="AR55" i="3"/>
  <c r="AS55" i="3" s="1"/>
  <c r="AT44" i="3"/>
  <c r="AU44" i="3" s="1"/>
  <c r="AZ44" i="3"/>
  <c r="BA44" i="3" s="1"/>
  <c r="AN44" i="3"/>
  <c r="AO44" i="3" s="1"/>
  <c r="Z57" i="3"/>
  <c r="Z58" i="3" s="1"/>
  <c r="Z59" i="3" s="1"/>
  <c r="AC56" i="3"/>
  <c r="AE56" i="3" s="1"/>
  <c r="AB56" i="3"/>
  <c r="AD56" i="3" s="1"/>
  <c r="X56" i="3"/>
  <c r="AX36" i="3"/>
  <c r="AY36" i="3" s="1"/>
  <c r="AR36" i="3"/>
  <c r="AS36" i="3" s="1"/>
  <c r="AN37" i="3"/>
  <c r="AO37" i="3" s="1"/>
  <c r="AT36" i="3"/>
  <c r="AU36" i="3" s="1"/>
  <c r="AZ36" i="3"/>
  <c r="BA36" i="3" s="1"/>
  <c r="AN36" i="3"/>
  <c r="AO36" i="3" s="1"/>
  <c r="AL28" i="3"/>
  <c r="AM28" i="3" s="1"/>
  <c r="AN28" i="3"/>
  <c r="AO28" i="3" s="1"/>
  <c r="AE70" i="1"/>
  <c r="AF70" i="1" s="1"/>
  <c r="AD71" i="1"/>
  <c r="AE71" i="1" s="1"/>
  <c r="AF71" i="1" s="1"/>
  <c r="AG71" i="1" s="1"/>
  <c r="AN87" i="7"/>
  <c r="AO76" i="7"/>
  <c r="AT73" i="3"/>
  <c r="AU73" i="3" s="1"/>
  <c r="AT98" i="3"/>
  <c r="AU98" i="3" s="1"/>
  <c r="AT94" i="3"/>
  <c r="AU94" i="3" s="1"/>
  <c r="AN48" i="3"/>
  <c r="AO48" i="3" s="1"/>
  <c r="AN98" i="3"/>
  <c r="AO98" i="3" s="1"/>
  <c r="AN73" i="3"/>
  <c r="AO73" i="3" s="1"/>
  <c r="AN84" i="3"/>
  <c r="AO84" i="3" s="1"/>
  <c r="AN94" i="3"/>
  <c r="AO94" i="3" s="1"/>
  <c r="AT84" i="3"/>
  <c r="AU84" i="3" s="1"/>
  <c r="AE29" i="3"/>
  <c r="AT29" i="3" s="1"/>
  <c r="AU29" i="3" s="1"/>
  <c r="AT93" i="3"/>
  <c r="AU93" i="3" s="1"/>
  <c r="AT75" i="3"/>
  <c r="AU75" i="3" s="1"/>
  <c r="AN75" i="3"/>
  <c r="AO75" i="3" s="1"/>
  <c r="AT48" i="3"/>
  <c r="AU48" i="3" s="1"/>
  <c r="AN93" i="3"/>
  <c r="AO93" i="3" s="1"/>
  <c r="AT92" i="3"/>
  <c r="AU92" i="3" s="1"/>
  <c r="AN92" i="3"/>
  <c r="AO92" i="3" s="1"/>
  <c r="AZ31" i="3"/>
  <c r="BA31" i="3" s="1"/>
  <c r="AN31" i="3"/>
  <c r="AO31" i="3" s="1"/>
  <c r="AT31" i="3"/>
  <c r="AU31" i="3" s="1"/>
  <c r="AZ92" i="3"/>
  <c r="BA92" i="3" s="1"/>
  <c r="AE47" i="3"/>
  <c r="AZ93" i="3"/>
  <c r="BA93" i="3" s="1"/>
  <c r="AE30" i="3"/>
  <c r="AE74" i="3"/>
  <c r="AZ84" i="3"/>
  <c r="BA84" i="3" s="1"/>
  <c r="AZ46" i="3"/>
  <c r="BA46" i="3" s="1"/>
  <c r="AN46" i="3"/>
  <c r="AO46" i="3" s="1"/>
  <c r="AT46" i="3"/>
  <c r="AU46" i="3" s="1"/>
  <c r="AZ94" i="3"/>
  <c r="BA94" i="3" s="1"/>
  <c r="AZ98" i="3"/>
  <c r="BA98" i="3" s="1"/>
  <c r="D13" i="5"/>
  <c r="D18" i="5" s="1"/>
  <c r="H58" i="7"/>
  <c r="H66" i="7" s="1"/>
  <c r="I71" i="7" s="1"/>
  <c r="AK48" i="6"/>
  <c r="AK49" i="6"/>
  <c r="H56" i="7"/>
  <c r="H41" i="1" s="1"/>
  <c r="J58" i="6"/>
  <c r="M56" i="6"/>
  <c r="J57" i="6"/>
  <c r="M55" i="6"/>
  <c r="AS79" i="7"/>
  <c r="AT79" i="7" s="1"/>
  <c r="AS87" i="7"/>
  <c r="AT77" i="7"/>
  <c r="AN78" i="7"/>
  <c r="AO78" i="7" s="1"/>
  <c r="AL98" i="3"/>
  <c r="AM98" i="3" s="1"/>
  <c r="AX84" i="3"/>
  <c r="AY84" i="3" s="1"/>
  <c r="AL93" i="3"/>
  <c r="AM93" i="3" s="1"/>
  <c r="AL94" i="3"/>
  <c r="AM94" i="3" s="1"/>
  <c r="AR75" i="3"/>
  <c r="AS75" i="3" s="1"/>
  <c r="AX29" i="3"/>
  <c r="AY29" i="3" s="1"/>
  <c r="AX94" i="3"/>
  <c r="AY94" i="3" s="1"/>
  <c r="AX75" i="3"/>
  <c r="AY75" i="3" s="1"/>
  <c r="AX47" i="3"/>
  <c r="AY47" i="3" s="1"/>
  <c r="AX98" i="3"/>
  <c r="AY98" i="3" s="1"/>
  <c r="AR98" i="3"/>
  <c r="AS98" i="3" s="1"/>
  <c r="AX74" i="3"/>
  <c r="AY74" i="3" s="1"/>
  <c r="AX93" i="3"/>
  <c r="AY93" i="3" s="1"/>
  <c r="AX92" i="3"/>
  <c r="AY92" i="3" s="1"/>
  <c r="AX30" i="3"/>
  <c r="AY30" i="3" s="1"/>
  <c r="AL32" i="3"/>
  <c r="AM32" i="3" s="1"/>
  <c r="AR32" i="3"/>
  <c r="AS32" i="3" s="1"/>
  <c r="AR29" i="3"/>
  <c r="AS29" i="3" s="1"/>
  <c r="AL49" i="3"/>
  <c r="AM49" i="3" s="1"/>
  <c r="AR49" i="3"/>
  <c r="AS49" i="3" s="1"/>
  <c r="AN76" i="3"/>
  <c r="AO76" i="3" s="1"/>
  <c r="AT76" i="3"/>
  <c r="AU76" i="3" s="1"/>
  <c r="AL30" i="3"/>
  <c r="AM30" i="3" s="1"/>
  <c r="AN32" i="3"/>
  <c r="AO32" i="3" s="1"/>
  <c r="AT32" i="3"/>
  <c r="AU32" i="3" s="1"/>
  <c r="AR92" i="3"/>
  <c r="AS92" i="3" s="1"/>
  <c r="AR47" i="3"/>
  <c r="AS47" i="3" s="1"/>
  <c r="AN49" i="3"/>
  <c r="AO49" i="3" s="1"/>
  <c r="AT49" i="3"/>
  <c r="AU49" i="3" s="1"/>
  <c r="AL48" i="3"/>
  <c r="AM48" i="3" s="1"/>
  <c r="AR48" i="3"/>
  <c r="AS48" i="3" s="1"/>
  <c r="AL76" i="3"/>
  <c r="AM76" i="3" s="1"/>
  <c r="AR76" i="3"/>
  <c r="AS76" i="3" s="1"/>
  <c r="AL31" i="3"/>
  <c r="AM31" i="3" s="1"/>
  <c r="AR31" i="3"/>
  <c r="AS31" i="3" s="1"/>
  <c r="AR74" i="3"/>
  <c r="AS74" i="3" s="1"/>
  <c r="AR84" i="3"/>
  <c r="AS84" i="3" s="1"/>
  <c r="AC34" i="3"/>
  <c r="AE33" i="3"/>
  <c r="AZ33" i="3" s="1"/>
  <c r="BA33" i="3" s="1"/>
  <c r="AB33" i="3"/>
  <c r="AD33" i="3" s="1"/>
  <c r="AX33" i="3" s="1"/>
  <c r="AY33" i="3" s="1"/>
  <c r="X33" i="3"/>
  <c r="AC51" i="3"/>
  <c r="AE50" i="3"/>
  <c r="AZ50" i="3" s="1"/>
  <c r="BA50" i="3" s="1"/>
  <c r="AB50" i="3"/>
  <c r="AD50" i="3" s="1"/>
  <c r="AX50" i="3" s="1"/>
  <c r="AY50" i="3" s="1"/>
  <c r="X50" i="3"/>
  <c r="Z78" i="3"/>
  <c r="AC78" i="3" s="1"/>
  <c r="AB77" i="3"/>
  <c r="AD77" i="3" s="1"/>
  <c r="AX77" i="3" s="1"/>
  <c r="AY77" i="3" s="1"/>
  <c r="AE77" i="3"/>
  <c r="AZ77" i="3" s="1"/>
  <c r="BA77" i="3" s="1"/>
  <c r="X77" i="3"/>
  <c r="AH70" i="1" l="1"/>
  <c r="AG85" i="1"/>
  <c r="AR56" i="3"/>
  <c r="AS56" i="3" s="1"/>
  <c r="AL56" i="3"/>
  <c r="AM56" i="3" s="1"/>
  <c r="AX56" i="3"/>
  <c r="AY56" i="3" s="1"/>
  <c r="AN56" i="3"/>
  <c r="AO56" i="3" s="1"/>
  <c r="AZ56" i="3"/>
  <c r="BA56" i="3" s="1"/>
  <c r="AT56" i="3"/>
  <c r="AU56" i="3" s="1"/>
  <c r="Z60" i="3"/>
  <c r="AC59" i="3"/>
  <c r="AE59" i="3" s="1"/>
  <c r="X59" i="3"/>
  <c r="AB59" i="3"/>
  <c r="AD59" i="3" s="1"/>
  <c r="AH71" i="1"/>
  <c r="AD72" i="1"/>
  <c r="AN88" i="7"/>
  <c r="AN89" i="7" s="1"/>
  <c r="AZ29" i="3"/>
  <c r="BA29" i="3" s="1"/>
  <c r="AN29" i="3"/>
  <c r="AO29" i="3" s="1"/>
  <c r="AZ47" i="3"/>
  <c r="BA47" i="3" s="1"/>
  <c r="AN47" i="3"/>
  <c r="AO47" i="3" s="1"/>
  <c r="AT47" i="3"/>
  <c r="AU47" i="3" s="1"/>
  <c r="AZ30" i="3"/>
  <c r="BA30" i="3" s="1"/>
  <c r="AN30" i="3"/>
  <c r="AO30" i="3" s="1"/>
  <c r="AT30" i="3"/>
  <c r="AU30" i="3" s="1"/>
  <c r="AZ74" i="3"/>
  <c r="BA74" i="3" s="1"/>
  <c r="AN74" i="3"/>
  <c r="AO74" i="3" s="1"/>
  <c r="AT74" i="3"/>
  <c r="AU74" i="3" s="1"/>
  <c r="AJ52" i="6"/>
  <c r="AJ53" i="6" s="1"/>
  <c r="AK53" i="6"/>
  <c r="AK55" i="6" s="1"/>
  <c r="H59" i="7"/>
  <c r="H68" i="7" s="1"/>
  <c r="H69" i="7" s="1"/>
  <c r="H43" i="1"/>
  <c r="J59" i="6"/>
  <c r="M59" i="6" s="1"/>
  <c r="M57" i="6"/>
  <c r="J60" i="6"/>
  <c r="M60" i="6" s="1"/>
  <c r="M58" i="6"/>
  <c r="AS88" i="7"/>
  <c r="AS89" i="7" s="1"/>
  <c r="AN79" i="7"/>
  <c r="AO79" i="7" s="1"/>
  <c r="AN77" i="3"/>
  <c r="AO77" i="3" s="1"/>
  <c r="AT77" i="3"/>
  <c r="AU77" i="3" s="1"/>
  <c r="AL50" i="3"/>
  <c r="AM50" i="3" s="1"/>
  <c r="AR50" i="3"/>
  <c r="AS50" i="3" s="1"/>
  <c r="AN50" i="3"/>
  <c r="AO50" i="3" s="1"/>
  <c r="AT50" i="3"/>
  <c r="AU50" i="3" s="1"/>
  <c r="AL33" i="3"/>
  <c r="AM33" i="3" s="1"/>
  <c r="AR33" i="3"/>
  <c r="AS33" i="3" s="1"/>
  <c r="AL77" i="3"/>
  <c r="AM77" i="3" s="1"/>
  <c r="AR77" i="3"/>
  <c r="AS77" i="3" s="1"/>
  <c r="AN33" i="3"/>
  <c r="AO33" i="3" s="1"/>
  <c r="AT33" i="3"/>
  <c r="AU33" i="3" s="1"/>
  <c r="AC52" i="3"/>
  <c r="AE51" i="3"/>
  <c r="AZ51" i="3" s="1"/>
  <c r="BA51" i="3" s="1"/>
  <c r="AB51" i="3"/>
  <c r="AD51" i="3" s="1"/>
  <c r="AX51" i="3" s="1"/>
  <c r="AY51" i="3" s="1"/>
  <c r="X51" i="3"/>
  <c r="Z79" i="3"/>
  <c r="AC79" i="3" s="1"/>
  <c r="AB78" i="3"/>
  <c r="AD78" i="3" s="1"/>
  <c r="AX78" i="3" s="1"/>
  <c r="AY78" i="3" s="1"/>
  <c r="AE78" i="3"/>
  <c r="AZ78" i="3" s="1"/>
  <c r="BA78" i="3" s="1"/>
  <c r="X78" i="3"/>
  <c r="AC35" i="3"/>
  <c r="AE34" i="3"/>
  <c r="AZ34" i="3" s="1"/>
  <c r="BA34" i="3" s="1"/>
  <c r="AB34" i="3"/>
  <c r="AD34" i="3" s="1"/>
  <c r="AX34" i="3" s="1"/>
  <c r="AY34" i="3" s="1"/>
  <c r="X34" i="3"/>
  <c r="AZ59" i="3" l="1"/>
  <c r="BA59" i="3" s="1"/>
  <c r="AT59" i="3"/>
  <c r="AU59" i="3" s="1"/>
  <c r="AN59" i="3"/>
  <c r="AO59" i="3" s="1"/>
  <c r="AX59" i="3"/>
  <c r="AY59" i="3" s="1"/>
  <c r="AL59" i="3"/>
  <c r="AM59" i="3" s="1"/>
  <c r="AR59" i="3"/>
  <c r="AS59" i="3" s="1"/>
  <c r="AK52" i="6"/>
  <c r="AK54" i="6" s="1"/>
  <c r="H44" i="1"/>
  <c r="H54" i="1"/>
  <c r="D28" i="3" s="1"/>
  <c r="H70" i="7"/>
  <c r="H52" i="1"/>
  <c r="H53" i="1"/>
  <c r="D23" i="6"/>
  <c r="AE72" i="1"/>
  <c r="AD73" i="1"/>
  <c r="AE73" i="1" s="1"/>
  <c r="H73" i="7"/>
  <c r="H57" i="1" s="1"/>
  <c r="H101" i="1" s="1"/>
  <c r="AL51" i="3"/>
  <c r="AM51" i="3" s="1"/>
  <c r="AR51" i="3"/>
  <c r="AS51" i="3" s="1"/>
  <c r="AN34" i="3"/>
  <c r="AO34" i="3" s="1"/>
  <c r="AT34" i="3"/>
  <c r="AU34" i="3" s="1"/>
  <c r="AN51" i="3"/>
  <c r="AO51" i="3" s="1"/>
  <c r="AT51" i="3"/>
  <c r="AU51" i="3" s="1"/>
  <c r="AL34" i="3"/>
  <c r="AM34" i="3" s="1"/>
  <c r="AR34" i="3"/>
  <c r="AS34" i="3" s="1"/>
  <c r="AN78" i="3"/>
  <c r="AO78" i="3" s="1"/>
  <c r="AT78" i="3"/>
  <c r="AU78" i="3" s="1"/>
  <c r="AL78" i="3"/>
  <c r="AM78" i="3" s="1"/>
  <c r="AR78" i="3"/>
  <c r="AS78" i="3" s="1"/>
  <c r="Z80" i="3"/>
  <c r="AC80" i="3" s="1"/>
  <c r="AB79" i="3"/>
  <c r="AD79" i="3" s="1"/>
  <c r="AX79" i="3" s="1"/>
  <c r="AY79" i="3" s="1"/>
  <c r="AE79" i="3"/>
  <c r="AZ79" i="3" s="1"/>
  <c r="BA79" i="3" s="1"/>
  <c r="X79" i="3"/>
  <c r="AE35" i="3"/>
  <c r="AZ35" i="3" s="1"/>
  <c r="BA35" i="3" s="1"/>
  <c r="AB35" i="3"/>
  <c r="AD35" i="3" s="1"/>
  <c r="AX35" i="3" s="1"/>
  <c r="AY35" i="3" s="1"/>
  <c r="X35" i="3"/>
  <c r="AC57" i="3"/>
  <c r="AE52" i="3"/>
  <c r="AZ52" i="3" s="1"/>
  <c r="BA52" i="3" s="1"/>
  <c r="AB52" i="3"/>
  <c r="AD52" i="3" s="1"/>
  <c r="AX52" i="3" s="1"/>
  <c r="AY52" i="3" s="1"/>
  <c r="X52" i="3"/>
  <c r="L61" i="6" l="1"/>
  <c r="I67" i="6" s="1"/>
  <c r="AE3" i="6"/>
  <c r="AE2" i="6" s="1"/>
  <c r="AE4" i="6"/>
  <c r="AE5" i="6" s="1"/>
  <c r="H103" i="1"/>
  <c r="H86" i="7"/>
  <c r="AC38" i="3"/>
  <c r="AE38" i="3" s="1"/>
  <c r="AZ38" i="3" s="1"/>
  <c r="BA38" i="3" s="1"/>
  <c r="AB38" i="3"/>
  <c r="AD38" i="3" s="1"/>
  <c r="AX38" i="3" s="1"/>
  <c r="AY38" i="3" s="1"/>
  <c r="H71" i="7"/>
  <c r="H107" i="1"/>
  <c r="AJ54" i="6"/>
  <c r="AJ55" i="6" s="1"/>
  <c r="Y4" i="6"/>
  <c r="AM3" i="6"/>
  <c r="AM2" i="6"/>
  <c r="AM5" i="6"/>
  <c r="AM4" i="6"/>
  <c r="AJ47" i="6"/>
  <c r="AJ48" i="6" s="1"/>
  <c r="P5" i="6"/>
  <c r="Y5" i="6" s="1"/>
  <c r="Y8" i="6" s="1"/>
  <c r="Y10" i="6" s="1"/>
  <c r="P4" i="6"/>
  <c r="P3" i="6"/>
  <c r="P6" i="6"/>
  <c r="S6" i="6" s="1"/>
  <c r="S7" i="6" s="1"/>
  <c r="AE81" i="1"/>
  <c r="AF73" i="1"/>
  <c r="AG73" i="1" s="1"/>
  <c r="AF72" i="1"/>
  <c r="H72" i="7"/>
  <c r="H55" i="1"/>
  <c r="H73" i="1" s="1"/>
  <c r="D16" i="6"/>
  <c r="D22" i="6"/>
  <c r="I82" i="6" s="1"/>
  <c r="I96" i="6"/>
  <c r="L59" i="6"/>
  <c r="L58" i="6"/>
  <c r="L54" i="6"/>
  <c r="L45" i="6"/>
  <c r="L60" i="6"/>
  <c r="L42" i="6"/>
  <c r="L56" i="6"/>
  <c r="L57" i="6"/>
  <c r="L53" i="6"/>
  <c r="L40" i="6"/>
  <c r="L46" i="6"/>
  <c r="L52" i="6"/>
  <c r="L62" i="6"/>
  <c r="L55" i="6"/>
  <c r="L48" i="6"/>
  <c r="L43" i="6"/>
  <c r="L47" i="6"/>
  <c r="L51" i="6"/>
  <c r="L41" i="6"/>
  <c r="L50" i="6"/>
  <c r="L49" i="6"/>
  <c r="L44" i="6"/>
  <c r="L39" i="6"/>
  <c r="M73" i="6" s="1"/>
  <c r="M77" i="6" s="1"/>
  <c r="AN79" i="3"/>
  <c r="AO79" i="3" s="1"/>
  <c r="AT79" i="3"/>
  <c r="AU79" i="3" s="1"/>
  <c r="AL52" i="3"/>
  <c r="AM52" i="3" s="1"/>
  <c r="AR52" i="3"/>
  <c r="AS52" i="3" s="1"/>
  <c r="AN52" i="3"/>
  <c r="AO52" i="3" s="1"/>
  <c r="AT52" i="3"/>
  <c r="AU52" i="3" s="1"/>
  <c r="AL79" i="3"/>
  <c r="AM79" i="3" s="1"/>
  <c r="AR79" i="3"/>
  <c r="AS79" i="3" s="1"/>
  <c r="AN35" i="3"/>
  <c r="AO35" i="3" s="1"/>
  <c r="AT35" i="3"/>
  <c r="AU35" i="3" s="1"/>
  <c r="AL35" i="3"/>
  <c r="AM35" i="3" s="1"/>
  <c r="AR35" i="3"/>
  <c r="AS35" i="3" s="1"/>
  <c r="X38" i="3"/>
  <c r="AC58" i="3"/>
  <c r="AB57" i="3"/>
  <c r="AD57" i="3" s="1"/>
  <c r="AX57" i="3" s="1"/>
  <c r="AY57" i="3" s="1"/>
  <c r="AE57" i="3"/>
  <c r="AZ57" i="3" s="1"/>
  <c r="BA57" i="3" s="1"/>
  <c r="X57" i="3"/>
  <c r="Z81" i="3"/>
  <c r="AC81" i="3" s="1"/>
  <c r="AB80" i="3"/>
  <c r="AD80" i="3" s="1"/>
  <c r="AX80" i="3" s="1"/>
  <c r="AY80" i="3" s="1"/>
  <c r="AE80" i="3"/>
  <c r="AZ80" i="3" s="1"/>
  <c r="BA80" i="3" s="1"/>
  <c r="X80" i="3"/>
  <c r="H108" i="1" l="1"/>
  <c r="H91" i="7" s="1"/>
  <c r="K91" i="7" s="1"/>
  <c r="H89" i="7"/>
  <c r="K103" i="1"/>
  <c r="H88" i="7"/>
  <c r="K88" i="7" s="1"/>
  <c r="O18" i="6"/>
  <c r="O20" i="6"/>
  <c r="O19" i="6"/>
  <c r="O21" i="6"/>
  <c r="O17" i="6"/>
  <c r="P7" i="6"/>
  <c r="V3" i="6"/>
  <c r="AG72" i="1"/>
  <c r="AG81" i="1" s="1"/>
  <c r="AF81" i="1"/>
  <c r="AG86" i="1" s="1"/>
  <c r="AI85" i="1" s="1"/>
  <c r="AH74" i="1"/>
  <c r="AH73" i="1"/>
  <c r="O14" i="6"/>
  <c r="N77" i="6"/>
  <c r="O15" i="6"/>
  <c r="S16" i="6"/>
  <c r="O12" i="6"/>
  <c r="S14" i="6"/>
  <c r="J78" i="6"/>
  <c r="S15" i="6"/>
  <c r="O13" i="6"/>
  <c r="S13" i="6"/>
  <c r="J74" i="6"/>
  <c r="N74" i="6" s="1"/>
  <c r="S12" i="6"/>
  <c r="J73" i="6"/>
  <c r="N73" i="6" s="1"/>
  <c r="J77" i="6"/>
  <c r="O16" i="6"/>
  <c r="N78" i="6"/>
  <c r="H56" i="1"/>
  <c r="H117" i="1" s="1"/>
  <c r="H76" i="7"/>
  <c r="H60" i="1" s="1"/>
  <c r="H85" i="1" s="1"/>
  <c r="H89" i="1" s="1"/>
  <c r="I83" i="6"/>
  <c r="I92" i="6" s="1"/>
  <c r="I68" i="6"/>
  <c r="I88" i="6"/>
  <c r="I89" i="6" s="1"/>
  <c r="I85" i="6"/>
  <c r="D32" i="3"/>
  <c r="T37" i="1" s="1"/>
  <c r="D31" i="3"/>
  <c r="AL38" i="3"/>
  <c r="AM38" i="3" s="1"/>
  <c r="AR38" i="3"/>
  <c r="AS38" i="3" s="1"/>
  <c r="AN38" i="3"/>
  <c r="AO38" i="3" s="1"/>
  <c r="AT38" i="3"/>
  <c r="AU38" i="3" s="1"/>
  <c r="AL80" i="3"/>
  <c r="AM80" i="3" s="1"/>
  <c r="AR80" i="3"/>
  <c r="AS80" i="3" s="1"/>
  <c r="AN80" i="3"/>
  <c r="AO80" i="3" s="1"/>
  <c r="AT80" i="3"/>
  <c r="AU80" i="3" s="1"/>
  <c r="AN57" i="3"/>
  <c r="AO57" i="3" s="1"/>
  <c r="AT57" i="3"/>
  <c r="AU57" i="3" s="1"/>
  <c r="AL57" i="3"/>
  <c r="AM57" i="3" s="1"/>
  <c r="AR57" i="3"/>
  <c r="AS57" i="3" s="1"/>
  <c r="AB58" i="3"/>
  <c r="AD58" i="3" s="1"/>
  <c r="AX58" i="3" s="1"/>
  <c r="AY58" i="3" s="1"/>
  <c r="AE58" i="3"/>
  <c r="AZ58" i="3" s="1"/>
  <c r="BA58" i="3" s="1"/>
  <c r="X58" i="3"/>
  <c r="AE81" i="3"/>
  <c r="AB81" i="3"/>
  <c r="AD81" i="3" s="1"/>
  <c r="AX81" i="3" s="1"/>
  <c r="AY81" i="3" s="1"/>
  <c r="X81" i="3"/>
  <c r="H119" i="1" l="1"/>
  <c r="AC60" i="3"/>
  <c r="AE60" i="3" s="1"/>
  <c r="AZ60" i="3" s="1"/>
  <c r="BA60" i="3" s="1"/>
  <c r="AB60" i="3"/>
  <c r="AD60" i="3" s="1"/>
  <c r="AX60" i="3" s="1"/>
  <c r="AY60" i="3" s="1"/>
  <c r="AZ81" i="3"/>
  <c r="BA81" i="3" s="1"/>
  <c r="AH72" i="1"/>
  <c r="AH81" i="1" s="1"/>
  <c r="AD86" i="1" s="1"/>
  <c r="AD87" i="1" s="1"/>
  <c r="H86" i="1"/>
  <c r="H90" i="1" s="1"/>
  <c r="H91" i="1" s="1"/>
  <c r="H81" i="7" s="1"/>
  <c r="Z84" i="1"/>
  <c r="S75" i="1"/>
  <c r="V94" i="1"/>
  <c r="Z85" i="1"/>
  <c r="Z95" i="1"/>
  <c r="U84" i="1"/>
  <c r="U85" i="1"/>
  <c r="S37" i="1"/>
  <c r="U37" i="1" s="1"/>
  <c r="I91" i="6"/>
  <c r="I86" i="6"/>
  <c r="AN58" i="3"/>
  <c r="AO58" i="3" s="1"/>
  <c r="AT58" i="3"/>
  <c r="AU58" i="3" s="1"/>
  <c r="AL58" i="3"/>
  <c r="AM58" i="3" s="1"/>
  <c r="AR58" i="3"/>
  <c r="AS58" i="3" s="1"/>
  <c r="AL81" i="3"/>
  <c r="AM81" i="3" s="1"/>
  <c r="AR81" i="3"/>
  <c r="AS81" i="3" s="1"/>
  <c r="AN81" i="3"/>
  <c r="AO81" i="3" s="1"/>
  <c r="AT81" i="3"/>
  <c r="AU81" i="3" s="1"/>
  <c r="X60" i="3"/>
  <c r="H39" i="7" s="1"/>
  <c r="R83" i="1" l="1"/>
  <c r="R82" i="1"/>
  <c r="H74" i="1"/>
  <c r="H75" i="1" s="1"/>
  <c r="H125" i="1"/>
  <c r="H114" i="1"/>
  <c r="H25" i="1"/>
  <c r="H74" i="7"/>
  <c r="T82" i="1"/>
  <c r="I77" i="1"/>
  <c r="I79" i="1"/>
  <c r="Z90" i="1"/>
  <c r="V90" i="1"/>
  <c r="AN60" i="3"/>
  <c r="AO60" i="3" s="1"/>
  <c r="AT60" i="3"/>
  <c r="AU60" i="3" s="1"/>
  <c r="AL60" i="3"/>
  <c r="AM60" i="3" s="1"/>
  <c r="AR60" i="3"/>
  <c r="AS60" i="3" s="1"/>
  <c r="H76" i="1" l="1"/>
  <c r="H79" i="1" s="1"/>
  <c r="H78" i="1"/>
  <c r="H77" i="1"/>
  <c r="H58" i="1"/>
  <c r="M74" i="6"/>
  <c r="M78" i="6" s="1"/>
  <c r="K74" i="7"/>
  <c r="I73" i="6"/>
  <c r="K47" i="7"/>
  <c r="H75" i="7"/>
  <c r="H59" i="1" s="1"/>
  <c r="V42" i="1" l="1"/>
  <c r="I30" i="3"/>
  <c r="I74" i="6"/>
  <c r="I78" i="6" s="1"/>
  <c r="I77" i="6"/>
  <c r="H122" i="1" l="1"/>
  <c r="H126" i="1" s="1"/>
  <c r="H80" i="1"/>
  <c r="H83" i="1" s="1"/>
  <c r="I32" i="3"/>
  <c r="I34" i="3" s="1"/>
  <c r="F50" i="3"/>
  <c r="D44" i="3"/>
  <c r="S55" i="3"/>
  <c r="X42" i="1"/>
  <c r="U42" i="1"/>
  <c r="H82" i="1" l="1"/>
  <c r="H78" i="7"/>
  <c r="H99" i="1"/>
  <c r="H128" i="1"/>
  <c r="H129" i="1" s="1"/>
  <c r="H95" i="7" s="1"/>
  <c r="H94" i="7"/>
  <c r="T36" i="1"/>
  <c r="S36" i="1" s="1"/>
  <c r="U36" i="1" s="1"/>
  <c r="T55" i="3" l="1"/>
  <c r="T56" i="3"/>
  <c r="U56" i="3" s="1"/>
  <c r="D46" i="3" s="1"/>
  <c r="H93" i="1"/>
  <c r="H79" i="7" s="1"/>
  <c r="H100" i="1" l="1"/>
  <c r="H105" i="1" s="1"/>
  <c r="K108" i="1" s="1"/>
  <c r="H95" i="1"/>
  <c r="H80" i="7" s="1"/>
  <c r="K80" i="7" s="1"/>
  <c r="U55" i="3"/>
  <c r="D45" i="3"/>
  <c r="D48" i="3" s="1"/>
  <c r="H94" i="1" s="1"/>
  <c r="F48" i="3" l="1"/>
  <c r="T41" i="1" s="1"/>
  <c r="X41" i="1" s="1"/>
  <c r="T40" i="1"/>
  <c r="S40" i="1" s="1"/>
  <c r="U40" i="1" s="1"/>
  <c r="K95" i="1"/>
  <c r="H96" i="1" l="1"/>
  <c r="H83" i="7" s="1"/>
  <c r="K83" i="7" s="1"/>
  <c r="H82" i="7"/>
  <c r="H97" i="1" l="1"/>
  <c r="K97" i="1" s="1"/>
  <c r="K96" i="1"/>
  <c r="H84" i="7" l="1"/>
  <c r="K8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Paolo Grossi</author>
  </authors>
  <commentList>
    <comment ref="H57" authorId="0" shapeId="0" xr:uid="{0A6C868C-F432-44EC-A09E-905A883AA8A7}">
      <text>
        <r>
          <rPr>
            <b/>
            <sz val="9"/>
            <color indexed="81"/>
            <rFont val="Tahoma"/>
            <family val="2"/>
          </rPr>
          <t>Paolo Grossi:</t>
        </r>
        <r>
          <rPr>
            <sz val="9"/>
            <color indexed="81"/>
            <rFont val="Tahoma"/>
            <family val="2"/>
          </rPr>
          <t xml:space="preserve">
si assume che la vite penetri nel cordolo fino alla barra d'armatura opposta </t>
        </r>
      </text>
    </comment>
  </commentList>
</comments>
</file>

<file path=xl/sharedStrings.xml><?xml version="1.0" encoding="utf-8"?>
<sst xmlns="http://schemas.openxmlformats.org/spreadsheetml/2006/main" count="2181" uniqueCount="1438">
  <si>
    <t>Composizione pannello</t>
  </si>
  <si>
    <t>diametro</t>
  </si>
  <si>
    <t xml:space="preserve">lunghezza </t>
  </si>
  <si>
    <t>Pannelli</t>
  </si>
  <si>
    <t>ns</t>
  </si>
  <si>
    <t>t</t>
  </si>
  <si>
    <t>t1</t>
  </si>
  <si>
    <t>t2</t>
  </si>
  <si>
    <t>t3</t>
  </si>
  <si>
    <t>t4</t>
  </si>
  <si>
    <t>t5</t>
  </si>
  <si>
    <t>t6</t>
  </si>
  <si>
    <t>t7</t>
  </si>
  <si>
    <t>t8</t>
  </si>
  <si>
    <t>t9</t>
  </si>
  <si>
    <t>strati</t>
  </si>
  <si>
    <t>Tipo</t>
  </si>
  <si>
    <t>Nr strati</t>
  </si>
  <si>
    <t>SCREWS</t>
  </si>
  <si>
    <t>VGS</t>
  </si>
  <si>
    <t>RTR</t>
  </si>
  <si>
    <t>d</t>
  </si>
  <si>
    <t>l</t>
  </si>
  <si>
    <t>Calcestruzzo</t>
  </si>
  <si>
    <t>Diametro staffe</t>
  </si>
  <si>
    <t>Diametro ferri long</t>
  </si>
  <si>
    <t>Copriferro minimo long</t>
  </si>
  <si>
    <t>Copriferro minimo staff</t>
  </si>
  <si>
    <t>d st</t>
  </si>
  <si>
    <t>d_L</t>
  </si>
  <si>
    <t>Diam aggregato</t>
  </si>
  <si>
    <t>cmin,b</t>
  </si>
  <si>
    <t>cmin,dur</t>
  </si>
  <si>
    <t>c,nom</t>
  </si>
  <si>
    <t>Cmin</t>
  </si>
  <si>
    <t>[mm]</t>
  </si>
  <si>
    <t>Cl</t>
  </si>
  <si>
    <t>S1</t>
  </si>
  <si>
    <t>S2</t>
  </si>
  <si>
    <t>S3</t>
  </si>
  <si>
    <t>S4</t>
  </si>
  <si>
    <t>S5</t>
  </si>
  <si>
    <t>S6</t>
  </si>
  <si>
    <t>X0</t>
  </si>
  <si>
    <t>XC1</t>
  </si>
  <si>
    <t>XC2</t>
  </si>
  <si>
    <t>XC3</t>
  </si>
  <si>
    <t>XC4</t>
  </si>
  <si>
    <t>Classe strutturale</t>
  </si>
  <si>
    <t>Distanza asse ferri longitudinali</t>
  </si>
  <si>
    <t>Tipo di vite</t>
  </si>
  <si>
    <t>larghezza cordolo lc,min</t>
  </si>
  <si>
    <t>Geometria effettiva</t>
  </si>
  <si>
    <t>lunghezza di sovrapposizione minima</t>
  </si>
  <si>
    <t>Sollecitazione</t>
  </si>
  <si>
    <t>[kN]</t>
  </si>
  <si>
    <t>Lunghezza di sovrapposizione</t>
  </si>
  <si>
    <t>Spessore</t>
  </si>
  <si>
    <t>t10</t>
  </si>
  <si>
    <t>t11</t>
  </si>
  <si>
    <t>Distanza dal bordo reale viti</t>
  </si>
  <si>
    <t>Distanza minima bordo a4t</t>
  </si>
  <si>
    <t>[kNm]</t>
  </si>
  <si>
    <t>Classe calcestuzzo</t>
  </si>
  <si>
    <t>C25/30</t>
  </si>
  <si>
    <t>C20/25</t>
  </si>
  <si>
    <t>C28/35</t>
  </si>
  <si>
    <t>C32/40</t>
  </si>
  <si>
    <t>Rck</t>
  </si>
  <si>
    <t>fck</t>
  </si>
  <si>
    <t>C24</t>
  </si>
  <si>
    <t>GL24h</t>
  </si>
  <si>
    <t>fc0d</t>
  </si>
  <si>
    <t>fc90k</t>
  </si>
  <si>
    <t>fc0k</t>
  </si>
  <si>
    <t>Durata carico</t>
  </si>
  <si>
    <t>Breve</t>
  </si>
  <si>
    <t>ym</t>
  </si>
  <si>
    <t>kmod</t>
  </si>
  <si>
    <t>Lunga</t>
  </si>
  <si>
    <t>Media</t>
  </si>
  <si>
    <t>Istantanea</t>
  </si>
  <si>
    <t>Classe</t>
  </si>
  <si>
    <t>Braccio di leva</t>
  </si>
  <si>
    <t>Larghezza effettiva cordolo lc</t>
  </si>
  <si>
    <t>Lunghezza efficace filetto vite Legno</t>
  </si>
  <si>
    <t>Lunghezza filetto vite Legno</t>
  </si>
  <si>
    <t>Lunghezza filetto vite CA</t>
  </si>
  <si>
    <t>leff</t>
  </si>
  <si>
    <t>ro</t>
  </si>
  <si>
    <t>[Mpa]</t>
  </si>
  <si>
    <t>[kg/mc]</t>
  </si>
  <si>
    <t>Rtens,d</t>
  </si>
  <si>
    <t>Rax,d</t>
  </si>
  <si>
    <t>Ftens</t>
  </si>
  <si>
    <t>min</t>
  </si>
  <si>
    <t xml:space="preserve">lunghezza ancoraggio minima </t>
  </si>
  <si>
    <t>L</t>
  </si>
  <si>
    <t>Verifica ancoraggio lato calcestruzzo</t>
  </si>
  <si>
    <t>fbd</t>
  </si>
  <si>
    <t>[MPa]</t>
  </si>
  <si>
    <t>Tensione di aderenza</t>
  </si>
  <si>
    <t>[%]</t>
  </si>
  <si>
    <t>Lunghezza effettiva</t>
  </si>
  <si>
    <t xml:space="preserve">Orientamento </t>
  </si>
  <si>
    <t>fcd</t>
  </si>
  <si>
    <t>Resistenze</t>
  </si>
  <si>
    <t>Resistenza a compressione legno (design)</t>
  </si>
  <si>
    <t>Resistenza a compressione CLS (design)</t>
  </si>
  <si>
    <t>min(T,CA)</t>
  </si>
  <si>
    <t>Azione massima su tutte le viti</t>
  </si>
  <si>
    <t>I set</t>
  </si>
  <si>
    <t>II set</t>
  </si>
  <si>
    <t>mm</t>
  </si>
  <si>
    <t>x3</t>
  </si>
  <si>
    <t>Viti</t>
  </si>
  <si>
    <t>x2</t>
  </si>
  <si>
    <t>x1</t>
  </si>
  <si>
    <t>x</t>
  </si>
  <si>
    <t>FROM EQUILIBRIUM L PAN:</t>
  </si>
  <si>
    <t>x4</t>
  </si>
  <si>
    <t>Spaziatura esup</t>
  </si>
  <si>
    <t>Spaziatura einf</t>
  </si>
  <si>
    <t>Calcolo sforzi</t>
  </si>
  <si>
    <t>Azione massima viti in piano su singola vite superiore</t>
  </si>
  <si>
    <t>Azione massima viti in piano su singola vite inferiore</t>
  </si>
  <si>
    <t>Azione combinata su singola vite inferiore</t>
  </si>
  <si>
    <t>Azione combinata su singola vite superiore</t>
  </si>
  <si>
    <t>c</t>
  </si>
  <si>
    <t>e</t>
  </si>
  <si>
    <t>MY</t>
  </si>
  <si>
    <t>fhk</t>
  </si>
  <si>
    <t>[Nm]</t>
  </si>
  <si>
    <t>My</t>
  </si>
  <si>
    <t>Massima azione tagliante</t>
  </si>
  <si>
    <t>Lunghezza ancoraggio richiesta</t>
  </si>
  <si>
    <t xml:space="preserve"> lb,rqd</t>
  </si>
  <si>
    <t>Lunghezza ancoraggio minima</t>
  </si>
  <si>
    <t xml:space="preserve"> lbd</t>
  </si>
  <si>
    <t xml:space="preserve">lbd,min </t>
  </si>
  <si>
    <t xml:space="preserve">Tasso di lavoro </t>
  </si>
  <si>
    <t>h</t>
  </si>
  <si>
    <t xml:space="preserve">Lunghezza overlap </t>
  </si>
  <si>
    <t>l0</t>
  </si>
  <si>
    <t xml:space="preserve"> l0,min</t>
  </si>
  <si>
    <t>Tasso di lavoro</t>
  </si>
  <si>
    <t xml:space="preserve"> h</t>
  </si>
  <si>
    <t>a</t>
  </si>
  <si>
    <t>z</t>
  </si>
  <si>
    <t>b</t>
  </si>
  <si>
    <t>Vx</t>
  </si>
  <si>
    <t>Taglio in piano</t>
  </si>
  <si>
    <t>Taglio fuoripiano</t>
  </si>
  <si>
    <t>Lunghezza giunto</t>
  </si>
  <si>
    <t>lanc,cls</t>
  </si>
  <si>
    <t>l0,min</t>
  </si>
  <si>
    <t>a4t min</t>
  </si>
  <si>
    <t>esup</t>
  </si>
  <si>
    <t>einf</t>
  </si>
  <si>
    <t>dst</t>
  </si>
  <si>
    <t>dl</t>
  </si>
  <si>
    <t>agg</t>
  </si>
  <si>
    <t>cst</t>
  </si>
  <si>
    <t>cl</t>
  </si>
  <si>
    <t>lc</t>
  </si>
  <si>
    <t>fc0,d</t>
  </si>
  <si>
    <t>fc,d</t>
  </si>
  <si>
    <t>fc,cls,d</t>
  </si>
  <si>
    <t>fb</t>
  </si>
  <si>
    <t>R,ax,d</t>
  </si>
  <si>
    <t>R,v,d</t>
  </si>
  <si>
    <t xml:space="preserve">Tasso di lavoro sforzo assiale </t>
  </si>
  <si>
    <t xml:space="preserve">Tasso di lavoro sforzo taglio </t>
  </si>
  <si>
    <t xml:space="preserve">Tasso di lavoro combinata taglio trazione </t>
  </si>
  <si>
    <t>Raxconc,d</t>
  </si>
  <si>
    <t>fbk</t>
  </si>
  <si>
    <t>legno</t>
  </si>
  <si>
    <t>Raxconc,k</t>
  </si>
  <si>
    <t>lbdmin</t>
  </si>
  <si>
    <t>Ancoraggio</t>
  </si>
  <si>
    <t>Sovrapposizione</t>
  </si>
  <si>
    <t>Raxd(Lmin)</t>
  </si>
  <si>
    <t>Raxd(Lbdmin)</t>
  </si>
  <si>
    <t>Resistenze massime lato calcestruzzo con lunghezza minima</t>
  </si>
  <si>
    <r>
      <rPr>
        <sz val="10"/>
        <color theme="1"/>
        <rFont val="Symbol"/>
        <family val="1"/>
        <charset val="2"/>
      </rPr>
      <t>a</t>
    </r>
    <r>
      <rPr>
        <sz val="10"/>
        <color theme="1"/>
        <rFont val="Verdana"/>
        <family val="2"/>
      </rPr>
      <t>cc</t>
    </r>
  </si>
  <si>
    <t>l-lbdmin</t>
  </si>
  <si>
    <t>l-l0min-c</t>
  </si>
  <si>
    <t>Raxd(l-Lbdmin)</t>
  </si>
  <si>
    <t>Ftens,d</t>
  </si>
  <si>
    <t>RESISTENZE IMPONENDO MINIMA LUNGHEZZA LATO CALCESTRUZZO</t>
  </si>
  <si>
    <t>tipo di rottura</t>
  </si>
  <si>
    <t>sovrapposizione</t>
  </si>
  <si>
    <t>ancoraggio</t>
  </si>
  <si>
    <t>Rmin</t>
  </si>
  <si>
    <t>Raxd(l-L0min-c)</t>
  </si>
  <si>
    <t>Resistenze massime lato legno con lunghezza minima lato cls</t>
  </si>
  <si>
    <t>CONTROLLO SU VALORI DI PROGETTO</t>
  </si>
  <si>
    <t>CONTROLLO SU VALORI CARATTERISTICI</t>
  </si>
  <si>
    <t>CONTROLLO SU VALORI MEDI</t>
  </si>
  <si>
    <t>coeff. Sovr. exp</t>
  </si>
  <si>
    <t>ASSIALE</t>
  </si>
  <si>
    <t xml:space="preserve">TAGLIO </t>
  </si>
  <si>
    <t>Legno estrazione filetto</t>
  </si>
  <si>
    <t>Acciaio trazione netta</t>
  </si>
  <si>
    <t>Calcestruzzo estrazione</t>
  </si>
  <si>
    <t>Progetto</t>
  </si>
  <si>
    <t>Sperimentale</t>
  </si>
  <si>
    <t>Caratt</t>
  </si>
  <si>
    <t>Meccanismo di rottura viti</t>
  </si>
  <si>
    <t>Tranciamento acciao viti</t>
  </si>
  <si>
    <t>Rottura lato legno (Johansen)</t>
  </si>
  <si>
    <t>Fv,Rk</t>
  </si>
  <si>
    <t>ftb</t>
  </si>
  <si>
    <t>fuk</t>
  </si>
  <si>
    <t>Aeff</t>
  </si>
  <si>
    <t>failure mode:</t>
  </si>
  <si>
    <t>dn</t>
  </si>
  <si>
    <r>
      <t>[mm</t>
    </r>
    <r>
      <rPr>
        <vertAlign val="superscript"/>
        <sz val="10"/>
        <color theme="1"/>
        <rFont val="Verdana"/>
        <family val="2"/>
      </rPr>
      <t>2</t>
    </r>
    <r>
      <rPr>
        <sz val="10"/>
        <color theme="1"/>
        <rFont val="Verdana"/>
        <family val="2"/>
      </rPr>
      <t>]</t>
    </r>
  </si>
  <si>
    <t>Fv,Rd</t>
  </si>
  <si>
    <t>Failure mode according to EN1995</t>
  </si>
  <si>
    <t>leff min (e)</t>
  </si>
  <si>
    <t>a4t</t>
  </si>
  <si>
    <t>(4.0 E1)</t>
  </si>
  <si>
    <t xml:space="preserve">Resistenza a taglio singola vite </t>
  </si>
  <si>
    <t>(1) E1</t>
  </si>
  <si>
    <t>(2) E1</t>
  </si>
  <si>
    <t>(3) E1</t>
  </si>
  <si>
    <t>(4/5) E1</t>
  </si>
  <si>
    <t>Mx</t>
  </si>
  <si>
    <t>Momento flettente (parallelo al giunto)</t>
  </si>
  <si>
    <t>y</t>
  </si>
  <si>
    <t>Distanza viti superiori/inferiori</t>
  </si>
  <si>
    <t>Azione assiale (perpendicolare al giunto)</t>
  </si>
  <si>
    <t>Ny</t>
  </si>
  <si>
    <t>nsup</t>
  </si>
  <si>
    <t>ninf</t>
  </si>
  <si>
    <t>leff min (for ductile mode)</t>
  </si>
  <si>
    <t>leff-10mm</t>
  </si>
  <si>
    <t>leff,min duct</t>
  </si>
  <si>
    <t>leff min (duct)</t>
  </si>
  <si>
    <t>J</t>
  </si>
  <si>
    <t>RE</t>
  </si>
  <si>
    <t>%</t>
  </si>
  <si>
    <t>max RE adm</t>
  </si>
  <si>
    <t xml:space="preserve">Mxy </t>
  </si>
  <si>
    <t>Torsione</t>
  </si>
  <si>
    <t>Calcolo asse neutro - Flessione</t>
  </si>
  <si>
    <t>Distanza viti lembo superiore</t>
  </si>
  <si>
    <t>hd</t>
  </si>
  <si>
    <t>lbc</t>
  </si>
  <si>
    <t>[kN]/[m]</t>
  </si>
  <si>
    <t>[kNm]/[m]</t>
  </si>
  <si>
    <t>kser</t>
  </si>
  <si>
    <t>[kN/m]</t>
  </si>
  <si>
    <t>xsls</t>
  </si>
  <si>
    <t>spessore di tutti gli strati longitudinali entro il 25% della sezione trasversale esterna</t>
  </si>
  <si>
    <t>verifica strati per xsls</t>
  </si>
  <si>
    <t>Lunghezza compressa calcolo per rigidezza</t>
  </si>
  <si>
    <t>zsls</t>
  </si>
  <si>
    <t>fref</t>
  </si>
  <si>
    <t>mref</t>
  </si>
  <si>
    <t>[kNm/m]</t>
  </si>
  <si>
    <t>Momento di riferimento</t>
  </si>
  <si>
    <t>kc</t>
  </si>
  <si>
    <t xml:space="preserve">Rigidezza a compressione </t>
  </si>
  <si>
    <t>E90m</t>
  </si>
  <si>
    <t>E0m</t>
  </si>
  <si>
    <t xml:space="preserve"> </t>
  </si>
  <si>
    <t>bref</t>
  </si>
  <si>
    <t>Larghezza di riferimento</t>
  </si>
  <si>
    <t>kax</t>
  </si>
  <si>
    <t>Rigidezza assiale</t>
  </si>
  <si>
    <t>Rigidezza a taglio</t>
  </si>
  <si>
    <t>numero di viti superiori/metro</t>
  </si>
  <si>
    <t>numero di viti inferiori/metro</t>
  </si>
  <si>
    <t>[-]/[m]</t>
  </si>
  <si>
    <t>[N/mm/m]</t>
  </si>
  <si>
    <t>(15) E9</t>
  </si>
  <si>
    <t>[N/mm]</t>
  </si>
  <si>
    <t>ut,ref</t>
  </si>
  <si>
    <t>uc,ref</t>
  </si>
  <si>
    <t>nref</t>
  </si>
  <si>
    <t>Viti in zona tesa</t>
  </si>
  <si>
    <r>
      <rPr>
        <sz val="10"/>
        <color theme="1"/>
        <rFont val="Symbol"/>
        <family val="1"/>
        <charset val="2"/>
      </rPr>
      <t>j</t>
    </r>
    <r>
      <rPr>
        <vertAlign val="subscript"/>
        <sz val="10"/>
        <color theme="1"/>
        <rFont val="Verdana"/>
        <family val="2"/>
      </rPr>
      <t>ref</t>
    </r>
  </si>
  <si>
    <t>Angolo di rotazione unitario</t>
  </si>
  <si>
    <r>
      <t>K</t>
    </r>
    <r>
      <rPr>
        <sz val="10"/>
        <color theme="1"/>
        <rFont val="Symbol"/>
        <family val="1"/>
        <charset val="2"/>
      </rPr>
      <t>j</t>
    </r>
  </si>
  <si>
    <t>Rigidezza taglio/flessionale</t>
  </si>
  <si>
    <t>C</t>
  </si>
  <si>
    <t>first layer</t>
  </si>
  <si>
    <t>a_t(25%)</t>
  </si>
  <si>
    <t>a(x&lt;t1)</t>
  </si>
  <si>
    <t>a(x&gt;t1)</t>
  </si>
  <si>
    <t>(8) E7</t>
  </si>
  <si>
    <t>(9) E7</t>
  </si>
  <si>
    <t>(10) E7</t>
  </si>
  <si>
    <t>(11) E7</t>
  </si>
  <si>
    <t>(12) E7</t>
  </si>
  <si>
    <t>(13) E7</t>
  </si>
  <si>
    <t>Flat,sup,x</t>
  </si>
  <si>
    <t>Flat,inf,x</t>
  </si>
  <si>
    <t>Flat,sup,z</t>
  </si>
  <si>
    <t>Flat,inf,z</t>
  </si>
  <si>
    <t>Flat,inf</t>
  </si>
  <si>
    <t>Flat,sup</t>
  </si>
  <si>
    <t>Vz</t>
  </si>
  <si>
    <t>Resistenza lato legno considerando penetrazione minima lato calcestruzzo (anc)</t>
  </si>
  <si>
    <t>Resistenza lato legno considerando penetrazione minima lato calcestruzzo (sovrapp)</t>
  </si>
  <si>
    <t>N</t>
  </si>
  <si>
    <t>Analitica</t>
  </si>
  <si>
    <t>esupeff</t>
  </si>
  <si>
    <t>einfeff</t>
  </si>
  <si>
    <t>(eff.nr ax)</t>
  </si>
  <si>
    <t>(eff.nr sh)</t>
  </si>
  <si>
    <t>ymconn</t>
  </si>
  <si>
    <t>Rv,d</t>
  </si>
  <si>
    <t>Numero efficace assiale (non necessario)</t>
  </si>
  <si>
    <t>Numero efficace a taglio (non necessario)</t>
  </si>
  <si>
    <t>n</t>
  </si>
  <si>
    <t>sup</t>
  </si>
  <si>
    <t>inf</t>
  </si>
  <si>
    <t>(d1vitesup)</t>
  </si>
  <si>
    <t>(d1viteinf</t>
  </si>
  <si>
    <t>LC</t>
  </si>
  <si>
    <t>viti</t>
  </si>
  <si>
    <t>tavoletta</t>
  </si>
  <si>
    <t>ltav</t>
  </si>
  <si>
    <t>htav</t>
  </si>
  <si>
    <t>Concrete</t>
  </si>
  <si>
    <t>Distanza bordo a4t</t>
  </si>
  <si>
    <t>Verifica coerenza posizione viti/ferri</t>
  </si>
  <si>
    <r>
      <rPr>
        <sz val="10"/>
        <color theme="1"/>
        <rFont val="Symbol"/>
        <family val="1"/>
        <charset val="2"/>
      </rPr>
      <t>a</t>
    </r>
    <r>
      <rPr>
        <sz val="10"/>
        <color theme="1"/>
        <rFont val="Verdana"/>
        <family val="2"/>
      </rPr>
      <t>ct</t>
    </r>
  </si>
  <si>
    <t>Lunghezza di ancoraggio</t>
  </si>
  <si>
    <t>assumiamo che la testa della vite sia in corrispondenza del filo esterno della staffa</t>
  </si>
  <si>
    <t>somma</t>
  </si>
  <si>
    <t>area</t>
  </si>
  <si>
    <t>dist</t>
  </si>
  <si>
    <t>min zona comp</t>
  </si>
  <si>
    <t>(5) E4 or (6) E5</t>
  </si>
  <si>
    <t>(7) E6</t>
  </si>
  <si>
    <t>C1</t>
  </si>
  <si>
    <t>Lunghezza ancoraggio</t>
  </si>
  <si>
    <t>(1) D1</t>
  </si>
  <si>
    <t>E5/E6</t>
  </si>
  <si>
    <t>(4) E1</t>
  </si>
  <si>
    <t>leff,min</t>
  </si>
  <si>
    <t>(14) E8</t>
  </si>
  <si>
    <t>(16) E10</t>
  </si>
  <si>
    <t>(18) E10</t>
  </si>
  <si>
    <t>(20) E10</t>
  </si>
  <si>
    <t>(22) E10</t>
  </si>
  <si>
    <t>(21) E10</t>
  </si>
  <si>
    <t>(17) E10</t>
  </si>
  <si>
    <t>(19) E10</t>
  </si>
  <si>
    <t>C35/45</t>
  </si>
  <si>
    <t>C40/50</t>
  </si>
  <si>
    <t>C45/55</t>
  </si>
  <si>
    <t>C30/37</t>
  </si>
  <si>
    <t>C50/60</t>
  </si>
  <si>
    <t>IT</t>
  </si>
  <si>
    <t>Data</t>
  </si>
  <si>
    <t>Progettista</t>
  </si>
  <si>
    <t>Connessione nr.</t>
  </si>
  <si>
    <t xml:space="preserve">Informazioni generali </t>
  </si>
  <si>
    <t>Lingua</t>
  </si>
  <si>
    <t>Diametro</t>
  </si>
  <si>
    <t xml:space="preserve">Lunghezza </t>
  </si>
  <si>
    <t>Numero di viti superiori/metro</t>
  </si>
  <si>
    <t>Numero di viti inferiori/metro</t>
  </si>
  <si>
    <t>Lunghezza ancoraggio minima (Concrete)</t>
  </si>
  <si>
    <t>Lunghezza di sovrapposizione minima (Concrete)</t>
  </si>
  <si>
    <t>Lunghezza di penetrazione minima (Timber)</t>
  </si>
  <si>
    <t>(*) si assume che la vite penetri nel cordolo fino alla barra d'armatura opposta</t>
  </si>
  <si>
    <t>Lunghezza filetto vite CA (*)</t>
  </si>
  <si>
    <t>(*) si considera che la trazione venga assorbita solo dalle viti sulla linea inferiore</t>
  </si>
  <si>
    <t>Azione massima su singola vite (*)</t>
  </si>
  <si>
    <t>Tolleranza su curvatura staffe</t>
  </si>
  <si>
    <t>[-]</t>
  </si>
  <si>
    <t>Tavola</t>
  </si>
  <si>
    <t>Posizione ferro longitudinale</t>
  </si>
  <si>
    <t>Ferro longitudinale (1/2 dia.)</t>
  </si>
  <si>
    <t>Vite (1/2 dia.)</t>
  </si>
  <si>
    <t>Copriferro minimo richiesto [mm]</t>
  </si>
  <si>
    <r>
      <rPr>
        <b/>
        <sz val="10"/>
        <color theme="1"/>
        <rFont val="Symbol"/>
        <family val="1"/>
        <charset val="2"/>
      </rPr>
      <t>D</t>
    </r>
    <r>
      <rPr>
        <b/>
        <sz val="10"/>
        <color theme="1"/>
        <rFont val="Verdana"/>
        <family val="2"/>
      </rPr>
      <t>,cdev</t>
    </r>
  </si>
  <si>
    <t>Fax,d</t>
  </si>
  <si>
    <t>Classe di esposizione ambientale</t>
  </si>
  <si>
    <t>acciaio (trazione)</t>
  </si>
  <si>
    <t>thick plate</t>
  </si>
  <si>
    <t>ρ CLT</t>
  </si>
  <si>
    <t>EN</t>
  </si>
  <si>
    <t>lingua selezionata:</t>
  </si>
  <si>
    <t>Copriferro minimo per le staffe</t>
  </si>
  <si>
    <t>Copriferro minimo per le barre longitudinali</t>
  </si>
  <si>
    <t>Distanza dall'asse delle barre lungitudinali</t>
  </si>
  <si>
    <t>user material</t>
  </si>
  <si>
    <t>celle editabili</t>
  </si>
  <si>
    <t>coeff. materiale acciaio</t>
  </si>
  <si>
    <t>coeff. materiale calcestruzzo</t>
  </si>
  <si>
    <t>coeff. connessione legno</t>
  </si>
  <si>
    <t>Spaziatura superiore</t>
  </si>
  <si>
    <t>Spaziatura inferiore</t>
  </si>
  <si>
    <t>Diametro ferri longitudinali</t>
  </si>
  <si>
    <t>Copriferro minimo staffe</t>
  </si>
  <si>
    <t>Copriferro minimo barre longitudinali</t>
  </si>
  <si>
    <t>Larghezza minima cordolo</t>
  </si>
  <si>
    <t>Larghezza effettiva cordolo</t>
  </si>
  <si>
    <t>lc,min</t>
  </si>
  <si>
    <t>Distanza tra viti superiori/inferiori</t>
  </si>
  <si>
    <t xml:space="preserve">Momento flettente rispetto le viti </t>
  </si>
  <si>
    <t xml:space="preserve">Asse neutro </t>
  </si>
  <si>
    <t xml:space="preserve">Porzione compressa prima lamella </t>
  </si>
  <si>
    <t xml:space="preserve">Porzione compressa seconda lamella </t>
  </si>
  <si>
    <t xml:space="preserve">Porzione compressa terza lamella </t>
  </si>
  <si>
    <t xml:space="preserve">Posizione risultante </t>
  </si>
  <si>
    <t>Azione massima viti fuoripiano su singola vite superiore</t>
  </si>
  <si>
    <t>Azione massima viti fuoripiano su singola vite inferiore</t>
  </si>
  <si>
    <t>Resistenza assiale singola vite lato legno/acciaio</t>
  </si>
  <si>
    <t>Forza su viti di riferimento</t>
  </si>
  <si>
    <t>Deformazione della zona compressa</t>
  </si>
  <si>
    <t>Deformazione dei fissaggi</t>
  </si>
  <si>
    <t>Tavola (Y/N)</t>
  </si>
  <si>
    <t>Sollecitazioni</t>
  </si>
  <si>
    <t>Flat,d</t>
  </si>
  <si>
    <t>Lunghezza minima ancoraggio</t>
  </si>
  <si>
    <t>Lunghezza minima overlap</t>
  </si>
  <si>
    <t>Rigidezze</t>
  </si>
  <si>
    <t>Azione massima su singola vite</t>
  </si>
  <si>
    <t>5s</t>
  </si>
  <si>
    <t>7s</t>
  </si>
  <si>
    <t>9s</t>
  </si>
  <si>
    <t>11s</t>
  </si>
  <si>
    <t>EC 1995-1-1</t>
  </si>
  <si>
    <t>CALCOLO TC-FUSION</t>
  </si>
  <si>
    <t>Normativa</t>
  </si>
  <si>
    <t xml:space="preserve">Durata carico </t>
  </si>
  <si>
    <t>Fibre inferiori tese</t>
  </si>
  <si>
    <t>+ trazione</t>
  </si>
  <si>
    <t>- compressione</t>
  </si>
  <si>
    <t>+ fibre tese inferiori</t>
  </si>
  <si>
    <t>- fibre tese superiori</t>
  </si>
  <si>
    <t>Permanente</t>
  </si>
  <si>
    <t>Breve/Istantanea</t>
  </si>
  <si>
    <t>L-Fibre strati esterni perpendicolari alla linea di giunto</t>
  </si>
  <si>
    <t>Verifica</t>
  </si>
  <si>
    <t>Fibre superiori tese</t>
  </si>
  <si>
    <t>primo strato</t>
  </si>
  <si>
    <t>25% spessore</t>
  </si>
  <si>
    <t>Distanza della linea di viti basse dal bordo CLT</t>
  </si>
  <si>
    <t>Resistanza assiale - Calcestruzzo</t>
  </si>
  <si>
    <t>Resistanza assiale - Legno</t>
  </si>
  <si>
    <t>Resistenza a taglio - Legno</t>
  </si>
  <si>
    <t>Resistenza a taglio - Acciaio</t>
  </si>
  <si>
    <t>Rigidezza laterale per vite singola</t>
  </si>
  <si>
    <t>NOTE</t>
  </si>
  <si>
    <t>Prima della costruzione, tutti i calcoli devono essere verificati e approvati dal progettista responsabile.</t>
  </si>
  <si>
    <t>I valori di resistenza meccanica e la geometria si riferiscono alla certificazione del prodotto.</t>
  </si>
  <si>
    <t>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t>
  </si>
  <si>
    <t>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t>
  </si>
  <si>
    <t>1. OGGETTO</t>
  </si>
  <si>
    <t>Con le presenti Condizioni Generali (o “Contratto”), ROTHO BLAAS SRL, con sede in I-39040 Cortaccia (BZ), Via dell’Adige 2/1 (d’ora in avanti “RB”) concede all’utente il diritto non esclusivo e revocabile di utilizzare, a titolo gratuito, il foglio di calcolo (d’ora in avanti “CALC”) alle condizioni di seguito indicate e per la durata del presente Contratto.
Il presente contratto regola pertanto il rapporto tra l’utente e RB relativamente all’utilizzo di detto foglio di calcolo. Nel momento in cui l’utente scarica e utilizza CALC, lo stesso accetta il presente Contratto e le condizioni riportate.
CALC permette all’utente di effettuare calcoli statici esclusivamente per i prodotti e materiali indicati in ciascuna sezione dello stesso. Il presente Contratto vieta espressamente l’uso di CALC per la realizzazione di prodotti che non sono indicati.
Nessuna garanzia sulla conformità legale ed al progetto dei calcoli è in ogni caso fornita da RB, che intende fornire esclusivamente uno strumento di calcolo indicativo quale servizio tecnico-commerciale nell’ambito dell’attività di vendita.</t>
  </si>
  <si>
    <t>2. RIFERIMENTI TECNICI</t>
  </si>
  <si>
    <t>3. DIRITTI E OBBLIGHI DI RB</t>
  </si>
  <si>
    <t>RB:
a) mette a disposizione dell’Utente CALC gratuitamente, così com’è;
b) non fornisce all’utente alcun supporto tecnico per l’utilizzo di CALC;
c) non garantisce la conformità di CALC alla normativa vigente né al progetto dei calcoli effettuati tramite lo stesso. In particolare, in seguito alla modifica delle disposizioni di pertinenza quali, per es. norme, omologazioni, ecc. il foglio di calcolo potrebbe diventare, in parte o per intero, non valido.
d) pur riservandosi il diritto di aggiornare, rivedere e sviluppare CALC, non assume alcun obbligo nei confronti dell’utente di verificare, correggere, completare o aggiornare il foglio di calcolo e/o rendere disponibili allo stesso gli aggiornamenti effettuati.</t>
  </si>
  <si>
    <t>4. DIRITTI E OBBLIGHI DELL'UTENTE</t>
  </si>
  <si>
    <t xml:space="preserve">L’Utente dichiara di utilizzare il foglio di calcolo in qualità di professionista escludendosi qualsiasi uso come consumatore, e di rispettare sempre i seguenti obblighi e divieti:
a) l’obbligo e la responsabilità di verificare che CALC soddisfi i propri bisogni specifici e sia compatibile con i propri hardware-software-sistemi;
b) l’obbligo di verificare, ad ogni utilizzo, la conformità dei calcoli effettuati tramite CALC alla normativa vigente ed al progetto;
c) l’obbligo di verificare la conformità legale dei calcoli effettuati tramite il Software;
d) L’obbligo di utilizzare l'ultima versione di CALC resa disponibile dal contatto di riferimento RB, controllando ad ogni utilizzo eventuali aggiornamenti;
e) il divieto di utilizzare CALC per prodotti non indicati in ciascuna sezione di calcolo;
f) l’obbligo di utilizzare software antivirus aggiornati e conformi allo standard industriale vigente;
g) l’obbligo di non cedere la licenza d’uso di CALC a terzi e/o in altro modo trasferire, dare in pegno o in locazione, affittare o condividere con altri o concedere in sublicenza i diritti di utilizzo del foglio di calcolo;
h) il divieto di modificare o variare in alcun modo CALC, anche tramite terzi.
L'utente si impegna a chiedere al referente di RB l'ultima versione di CALC. </t>
  </si>
  <si>
    <t>5. DIRITTI D'AUTORE</t>
  </si>
  <si>
    <t>I diritti d’autore sulle formulazioni di cui nel foglio di calcolo e tutti i diritti di proprietà intellettuale ed industriale sottesi a queste (quali in via puramente esemplificativa e non esaustiva: marchi, brevetti, segreti commerciali, know how, informazioni riservate) sono e restano di proprietà esclusiva di RB.
Il presente accordo non conferisce all’utente alcuno dei diritti di cui sopra.</t>
  </si>
  <si>
    <t xml:space="preserve">6. DURATA, RECESSO E CESSAZIONE </t>
  </si>
  <si>
    <t>Le presenti condizioni generali e, di conseguenza, la licenza d’uso del foglio di calcolo, sono validi dal momento del download dello stesso sino alla cessazione del suo utilizzo.
L’utente può recedere in qualsiasi momento dal presente Contratto eliminando CALC e tutte le eventuali copie dai suoi sistemi.
RB può recedere dal presente Contratto e disattivare il servizio in caso di infrazione di una qualsiasi delle disposizioni che regolano la licenza d’uso. Nel caso in cui RB comunichi la cessazione, l’utente dovrà provvedere ad eliminare il foglio di calcolo ed eventuali sue copie dai suoi sistemi.</t>
  </si>
  <si>
    <t>7. RESPONSABILITÀ</t>
  </si>
  <si>
    <t>L’utente è l’unico responsabile per l’uso di CALC, inclusi, ma non solo, tutti i calcoli, i tabulati, i dati di esportazioni con esso svolti e/o per gli errori di inserimento, per la protezione dei file di dati e per la manutenzione ed in generale per qualsiasi uso effettuato del foglio di calcolo.
RB non garantisce e in nessun caso potrà essere ritenuta responsabile in merito a danni, perdite e costi o altre conseguenze, a qualsiasi titolo (garanzia per vizi, garanzia per malfunzionamento, responsabilità del prodotto o di legge, etc.) derivanti da:
•   utilizzo di CALC, calcoli effettuati, conformità alla normativa vigente, al progetto o altre esigenze dell’Utente;
•   compatibilità hardware e software, virus, malfunzionamenti, difetti, errori o lacune;
•   mancato aggiornamento del foglio di calcolo e/o interruzione della messa a disposizione del foglio di calcolo e/o cessazione del contratto a qualsiasi titolo;
•   violazione di diritti di proprietà intellettuale di terzi.
L’utente conferma di aver compreso e accettato le esclusioni di responsabilità e le limitazioni di responsabilità e reclamo del presente Contratto. 
L’utente conferma inoltre che il foglio di calcolo è disponibile gratuitamente, che le esclusioni e le limitazioni sono elementi fondamentali del presente Contratto e che RB non rende disponibile il proprio foglio di calcolo all’utente nel caso in cui le esclusioni o le limitazioni vengono eliminate o modificate a favore dell’utente stesso.</t>
  </si>
  <si>
    <t>8. RIMBORSO</t>
  </si>
  <si>
    <t>L'utente accetta di tenere indenne e risarcire RB, le sue società affiliate e il suo o i suoi funzionari, direttori, dipendenti, successori, e incaricati (ciascuno singolarmente, ""Beneficiario"", collettivamente, i ""Beneficiari"") per i costi sostenuti in relazione a pretese avanzate da terzi per danni o perdite derivanti dall’utilizzo del foglio di calcolo da parte dell‘utente (compresi, ma non solo, onorari e spese di gestione sostenute da RB).</t>
  </si>
  <si>
    <t>9. VARIE</t>
  </si>
  <si>
    <t>Le presenti condizioni generali costituiscono l’intero accordo tra RB e l’utente per quanto riguarda la materia in oggetto e sostituiscono tutti gli accordi precedenti, orali o scritti che siano, nonché eventuali intese tra RB e l’utente.</t>
  </si>
  <si>
    <t>10. LINGUA</t>
  </si>
  <si>
    <t>In caso di divergenze tra versioni delle presenti condizioni nelle varie lingue, il testo italiano è vincolante e prevalente rispetto alle traduzioni.</t>
  </si>
  <si>
    <t>11. DIRITTO APPLICABILE E FORO COMPETENTE</t>
  </si>
  <si>
    <t>Il presente accordo e ogni rapporto tra le parti è regolato esclusivamente dal diritto italiano.
Ogni controversia che dovesse insorgere tra le parti in relazione al presente accordo, che le stesse non siano in grado di risolvere amichevolmente, sarà di esclusiva competenza del foro di Bolzano.</t>
  </si>
  <si>
    <t>12. PRIVACY</t>
  </si>
  <si>
    <t>CONDIZIONI GENERALI CONTRATTO DI LICENZA D’USO PER IL FOGLIO DI CALCOLO "TC_FUSION_CALCULATOR"</t>
  </si>
  <si>
    <t>TC-FUSION CALCULATOR</t>
  </si>
  <si>
    <t>ACCETTO</t>
  </si>
  <si>
    <t>Si rinvia alla privacy policy consultabile al link:</t>
  </si>
  <si>
    <t>https://www.rothoblaas.com/privacy-policy</t>
  </si>
  <si>
    <t>Language</t>
  </si>
  <si>
    <t>TC-FUSION CALCULATION</t>
  </si>
  <si>
    <t>General informations</t>
  </si>
  <si>
    <t>Date</t>
  </si>
  <si>
    <t>Project</t>
  </si>
  <si>
    <t>Designer</t>
  </si>
  <si>
    <t>Connection no.</t>
  </si>
  <si>
    <t>Standard</t>
  </si>
  <si>
    <t>Axial effective number (not required)</t>
  </si>
  <si>
    <t>Effective shear number (not necessary)</t>
  </si>
  <si>
    <t>Loads</t>
  </si>
  <si>
    <t>Load duration</t>
  </si>
  <si>
    <t>Joint length</t>
  </si>
  <si>
    <t>Lower tense fibers</t>
  </si>
  <si>
    <t>+ traction</t>
  </si>
  <si>
    <t>- compression</t>
  </si>
  <si>
    <t>+ lower tense fibers</t>
  </si>
  <si>
    <t>- upper tense fibers</t>
  </si>
  <si>
    <t>Permanent</t>
  </si>
  <si>
    <t>Panel composition</t>
  </si>
  <si>
    <t>Class</t>
  </si>
  <si>
    <t>No. Layers</t>
  </si>
  <si>
    <t>Type</t>
  </si>
  <si>
    <t>Thickness</t>
  </si>
  <si>
    <t>Orientation</t>
  </si>
  <si>
    <t>L-Outer layers fibers perpendicular to the joint line</t>
  </si>
  <si>
    <t>Screws</t>
  </si>
  <si>
    <t>Screw type</t>
  </si>
  <si>
    <t>Diameter</t>
  </si>
  <si>
    <t>Length</t>
  </si>
  <si>
    <t>Upper spacing</t>
  </si>
  <si>
    <t>Bottom spacing</t>
  </si>
  <si>
    <t>Board (Y/N)</t>
  </si>
  <si>
    <t>Number of upper screws/meter</t>
  </si>
  <si>
    <t>Number of lower screws/meter</t>
  </si>
  <si>
    <t>Minimum anchorage length (Concrete)</t>
  </si>
  <si>
    <t>Minimum overlap length (Concrete)</t>
  </si>
  <si>
    <t>Minimum penetration length (Timber)</t>
  </si>
  <si>
    <t>Edge distance a4t</t>
  </si>
  <si>
    <t>Minimum edge distance a4t</t>
  </si>
  <si>
    <t>Concrete class</t>
  </si>
  <si>
    <t>Longitudinal bars diameter</t>
  </si>
  <si>
    <t>Environmental exposure class</t>
  </si>
  <si>
    <t>Minimum longitudinal bars cover</t>
  </si>
  <si>
    <t>Longitudinal iron axis distance</t>
  </si>
  <si>
    <t>Minimum curb width</t>
  </si>
  <si>
    <t>Resistances</t>
  </si>
  <si>
    <t>Wood compression strength (design)</t>
  </si>
  <si>
    <t>Concrete compressive strength (design)</t>
  </si>
  <si>
    <t>min(T,CLS)</t>
  </si>
  <si>
    <t>Tension of adhesion</t>
  </si>
  <si>
    <t>Effective geometry</t>
  </si>
  <si>
    <t>Longitudinal bars axis distance</t>
  </si>
  <si>
    <t>Effective curb width</t>
  </si>
  <si>
    <t>Length of overlap</t>
  </si>
  <si>
    <t>Anchorage length</t>
  </si>
  <si>
    <t>Checking consistency of screw/rod position</t>
  </si>
  <si>
    <t>Upper edge screw distance</t>
  </si>
  <si>
    <t>Screw thread length in concrete (*)</t>
  </si>
  <si>
    <t>Screw thread length in timber</t>
  </si>
  <si>
    <t>Effective screw thread length in timber</t>
  </si>
  <si>
    <t>Distance between upper/lower screws</t>
  </si>
  <si>
    <t>(*) it is assumed that the screw penetrates the curb to the opposite reinforcement bar</t>
  </si>
  <si>
    <t>Verification</t>
  </si>
  <si>
    <t>Maximum action on single screw</t>
  </si>
  <si>
    <t>Single screw axial resistance timber/steel side</t>
  </si>
  <si>
    <t>Axial stress work ratio</t>
  </si>
  <si>
    <t>Maximum shear action</t>
  </si>
  <si>
    <t>Single screw shear strength</t>
  </si>
  <si>
    <t>Shear stress work ratio</t>
  </si>
  <si>
    <t>Combined shear-axial working ratio</t>
  </si>
  <si>
    <t>Concrete side anchorage verification</t>
  </si>
  <si>
    <t>Effective length</t>
  </si>
  <si>
    <t>Minimum anchor length</t>
  </si>
  <si>
    <t>Degree of utilization</t>
  </si>
  <si>
    <t>Minimum overlap length</t>
  </si>
  <si>
    <t>Stiffnesses</t>
  </si>
  <si>
    <t>Shear stiffness</t>
  </si>
  <si>
    <t>Axial stiffness</t>
  </si>
  <si>
    <t>Neutral axis calculation - Bending</t>
  </si>
  <si>
    <t>Bending moment with respect to screws</t>
  </si>
  <si>
    <t>Neutral axis</t>
  </si>
  <si>
    <t>Compressed portion first lamella</t>
  </si>
  <si>
    <t>Compressed portion second lamella</t>
  </si>
  <si>
    <t>Compressed portion third lamella</t>
  </si>
  <si>
    <t>Resulting position</t>
  </si>
  <si>
    <t>Lever arm</t>
  </si>
  <si>
    <t>Stress calculation</t>
  </si>
  <si>
    <t>Maximum action on all screws</t>
  </si>
  <si>
    <t>Maximum action on single screw (*)</t>
  </si>
  <si>
    <t>Maximum in-plane screw action on single top screw</t>
  </si>
  <si>
    <t>Maximum in-plane screw action on single lower screw</t>
  </si>
  <si>
    <t>Maximum out-of-plane screw action on single top screw</t>
  </si>
  <si>
    <t>Maximum out-of-plane screw action on single lower screw</t>
  </si>
  <si>
    <t>Combined action on single upper screw</t>
  </si>
  <si>
    <t>Combined action on single lower screw</t>
  </si>
  <si>
    <t>(*) traction is considered to be absorbed only by the screws on the lower line</t>
  </si>
  <si>
    <t>Upper tense fibers</t>
  </si>
  <si>
    <t>Single screw axial capacity timber/steel side</t>
  </si>
  <si>
    <t>Single screw shear capacity</t>
  </si>
  <si>
    <t>Required anchor length</t>
  </si>
  <si>
    <t>Overlap length</t>
  </si>
  <si>
    <t>Shear and bending stiffness</t>
  </si>
  <si>
    <t>25% thickness</t>
  </si>
  <si>
    <t>Compressed length calculation by stiffness</t>
  </si>
  <si>
    <t>Reference bending moment</t>
  </si>
  <si>
    <t>Reference force on screws</t>
  </si>
  <si>
    <t>Reference width</t>
  </si>
  <si>
    <t>Compressive stiffness</t>
  </si>
  <si>
    <t>Screws in tension area</t>
  </si>
  <si>
    <t>Deformation of the compressed zone</t>
  </si>
  <si>
    <t>Deformation of fasteners</t>
  </si>
  <si>
    <t>Unit angle of rotation</t>
  </si>
  <si>
    <t>editable cells</t>
  </si>
  <si>
    <t>Distance of the low screw line from the edge CLT</t>
  </si>
  <si>
    <t>Board</t>
  </si>
  <si>
    <t>Longitudinal bar position</t>
  </si>
  <si>
    <t>Longitudinal bar (1/2 dia.)</t>
  </si>
  <si>
    <t>Screw (1/2 dia.)</t>
  </si>
  <si>
    <t>Minimum required bars cover [mm]</t>
  </si>
  <si>
    <t>Structural class</t>
  </si>
  <si>
    <t>Distance from the axis of the longitudinal bars</t>
  </si>
  <si>
    <t>Pannels</t>
  </si>
  <si>
    <t>timber connection coeff.</t>
  </si>
  <si>
    <t>steel material coeff.</t>
  </si>
  <si>
    <t>concrete material coeff.</t>
  </si>
  <si>
    <t>AXIAL CAPACITY - CONCRETE</t>
  </si>
  <si>
    <t>AXIAL CAPACITY - TIMBER</t>
  </si>
  <si>
    <t>SHEAR CAPACITY - TIMBER</t>
  </si>
  <si>
    <t>SHEAR CAPACITY - STEEL</t>
  </si>
  <si>
    <t>Lateral stiffness for single screw</t>
  </si>
  <si>
    <t>NOTES</t>
  </si>
  <si>
    <t>Before the construction, all calculation must be verified and approved by the responsible designer.</t>
  </si>
  <si>
    <t>Mechanical resistance values and geometry refer to product certification.</t>
  </si>
  <si>
    <t>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t>
  </si>
  <si>
    <t>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t>
  </si>
  <si>
    <t>Distance from the edge screws</t>
  </si>
  <si>
    <t>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t>
  </si>
  <si>
    <t>2. TECHNICAL-STANDARDS REFERENCES</t>
  </si>
  <si>
    <t>3. RB RIGHTS AND OBLIGATIONS</t>
  </si>
  <si>
    <t>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t>
  </si>
  <si>
    <t>4. USER RIGHTS AND OBLIGATIONS</t>
  </si>
  <si>
    <t>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t>
  </si>
  <si>
    <t>5. COPYRIGHTS</t>
  </si>
  <si>
    <t>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t>
  </si>
  <si>
    <t>6. DURATION, WITHDRAWAL AND TERMINATION</t>
  </si>
  <si>
    <t>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t>
  </si>
  <si>
    <t>7. RESPONSIBILITY</t>
  </si>
  <si>
    <t>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t>
  </si>
  <si>
    <t>8. REFUND</t>
  </si>
  <si>
    <t>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t>
  </si>
  <si>
    <t>9. MISCELLANEOUS</t>
  </si>
  <si>
    <t>These general conditions constitute the entire agreement between RB and the user regarding the subject matter and replace all previous, oral or written agreements, as well as any agreements between RB and the user.</t>
  </si>
  <si>
    <t>10. LANGUAGE</t>
  </si>
  <si>
    <t>In the event of differences between versions of these conditions in the various languages, the Italian text is binding and takes precedence with respect to the translations.</t>
  </si>
  <si>
    <t>11. APPLICABLE LAW AND COURT OF JURISDICTION</t>
  </si>
  <si>
    <t>This agreement and any relationship between the parties is governed exclusively by the Italian law. 
Any dispute that may arise between the parties in relation to this agreement, that cannot be resolved amicably, shall be brought before the court of Bolzano.</t>
  </si>
  <si>
    <t>1. SUBJECT</t>
  </si>
  <si>
    <t>Refer to the privacy policy available at the link:</t>
  </si>
  <si>
    <t>ACCEPT</t>
  </si>
  <si>
    <t>Stirrups diameter</t>
  </si>
  <si>
    <t>Minimum stirrups cover</t>
  </si>
  <si>
    <t>Tolerance on stirrup curvature</t>
  </si>
  <si>
    <t>RB ha svolto le verifiche secondo il metodo degli Stati Limite in accordo EN 1995-1-1 Eurocodice 5-Progettazione delle strutture di legno ed EN 1992-1-1 Eurocodice 2-Progettazione delle strutture di calcestruzzo. Per i valori di resistenza meccanica e per la geometria del sistema si è fatto riferimento a quanto riportato in ETA-22/0806.</t>
  </si>
  <si>
    <t>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t>
  </si>
  <si>
    <t>(*) per dimensioni dell'aggregato superiori ai 15 mm valutare le condizioni di posa del getto di calcestruzzo</t>
  </si>
  <si>
    <t>TC-FUSION</t>
  </si>
  <si>
    <t>EC 1992-1-1</t>
  </si>
  <si>
    <t>Conversion factor</t>
  </si>
  <si>
    <t>Rigidezza rotazionale (*)</t>
  </si>
  <si>
    <t>Rotational stiffness (*)</t>
  </si>
  <si>
    <t>(*) for aggregate size larger than 15 mm, evaluate the concrete pouring conditions</t>
  </si>
  <si>
    <t>(*) double the stiffness in case of non-symmetrical connection with single plane of connection</t>
  </si>
  <si>
    <t>(*) raddoppiare la rigidezza in caso di connessione non simmetrica con singolo piano di collegamento</t>
  </si>
  <si>
    <t>Verification of concrete side anchoring system capacity must be carried out separately following ETA-22/0806 - Annex E1.</t>
  </si>
  <si>
    <t>La verifica della resistenza del sistema lato ancoraggio al calcestruzzo devono essere realizzata a parte seguendo quanto indicato in ETA-22/0806 - Annex E1.</t>
  </si>
  <si>
    <t>VGS_11</t>
  </si>
  <si>
    <t>VGS_11_450</t>
  </si>
  <si>
    <t>L_7</t>
  </si>
  <si>
    <t>260mm - 7s - 40 40 30 40 30 40 40</t>
  </si>
  <si>
    <t>T</t>
  </si>
  <si>
    <t>T-Fibre strati esterni paralleli alla linea di giunto</t>
  </si>
  <si>
    <t>T-Outer layers fibers parallel to the joint line</t>
  </si>
  <si>
    <t>ETA-22/0806</t>
  </si>
  <si>
    <t>ETA-11/0030</t>
  </si>
  <si>
    <t>Diametro aggregato (*)</t>
  </si>
  <si>
    <t>Aggregate diameter (*)</t>
  </si>
  <si>
    <t>DE</t>
  </si>
  <si>
    <t>ES</t>
  </si>
  <si>
    <t>FR</t>
  </si>
  <si>
    <t>PT</t>
  </si>
  <si>
    <t>Selection:</t>
  </si>
  <si>
    <t>Copriferro minimo richiesto</t>
  </si>
  <si>
    <t>Minimum bars cover required</t>
  </si>
  <si>
    <t>Legno</t>
  </si>
  <si>
    <t>Timber</t>
  </si>
  <si>
    <t>Long-term</t>
  </si>
  <si>
    <t>Medium-term</t>
  </si>
  <si>
    <t>Short-term</t>
  </si>
  <si>
    <t>Istantaneous</t>
  </si>
  <si>
    <t>Short/Instantaneous</t>
  </si>
  <si>
    <t>Coefficiente</t>
  </si>
  <si>
    <t>Coefficient</t>
  </si>
  <si>
    <t>Verifications</t>
  </si>
  <si>
    <t>Sprache</t>
  </si>
  <si>
    <t>Idioma</t>
  </si>
  <si>
    <t>Langue</t>
  </si>
  <si>
    <t>BERECHNUNG TC FUSION</t>
  </si>
  <si>
    <t>CÁLCULO TC FUSION</t>
  </si>
  <si>
    <t>CALCUL TC-FUSION</t>
  </si>
  <si>
    <t>CÁLCULO TC-FUSION</t>
  </si>
  <si>
    <t xml:space="preserve">Allgemeine Informationen </t>
  </si>
  <si>
    <t xml:space="preserve">Información general </t>
  </si>
  <si>
    <t xml:space="preserve">Informations générales </t>
  </si>
  <si>
    <t xml:space="preserve">Informações gerais </t>
  </si>
  <si>
    <t>Datum</t>
  </si>
  <si>
    <t>Fecha</t>
  </si>
  <si>
    <t>Projekt</t>
  </si>
  <si>
    <t>Proyecto</t>
  </si>
  <si>
    <t>Projet</t>
  </si>
  <si>
    <t>Projeto</t>
  </si>
  <si>
    <t>Planer</t>
  </si>
  <si>
    <t>Proyectista</t>
  </si>
  <si>
    <t>Concepteur</t>
  </si>
  <si>
    <t>Projetista</t>
  </si>
  <si>
    <t>Verbindung Nr.</t>
  </si>
  <si>
    <t>Conexión n.º</t>
  </si>
  <si>
    <t>Connexion n°</t>
  </si>
  <si>
    <t>Ligação n.º</t>
  </si>
  <si>
    <t>Norm</t>
  </si>
  <si>
    <t>Norme</t>
  </si>
  <si>
    <t>Número eficaz axial (no necesario)</t>
  </si>
  <si>
    <t>Nombre efficace axial (non nécessaire)</t>
  </si>
  <si>
    <t>Número efetivo axial (não necessário)</t>
  </si>
  <si>
    <t>Número eficaz al corte (no necesario)</t>
  </si>
  <si>
    <t>Nombre efficace au cisaillement (non nécessaire)</t>
  </si>
  <si>
    <t>Número efetivo de corte (não necessário)</t>
  </si>
  <si>
    <t>Beanspruchungen</t>
  </si>
  <si>
    <t>Solicitaciones</t>
  </si>
  <si>
    <t>Sollicitations</t>
  </si>
  <si>
    <t>Carregamentos</t>
  </si>
  <si>
    <t xml:space="preserve">Lasteinwirkungsdauer </t>
  </si>
  <si>
    <t xml:space="preserve">Duración de la carga </t>
  </si>
  <si>
    <t xml:space="preserve">Durée de la charge </t>
  </si>
  <si>
    <t xml:space="preserve">Duração da carga </t>
  </si>
  <si>
    <t>Länge Verbindung</t>
  </si>
  <si>
    <t>Longitud de la unión</t>
  </si>
  <si>
    <t>Longueur de l’assemblage</t>
  </si>
  <si>
    <t>Comprimento da junta</t>
  </si>
  <si>
    <t>Fibras inferiores en tracción</t>
  </si>
  <si>
    <t>Fibres inférieures tendues</t>
  </si>
  <si>
    <t>Fibras inferiores tensionadas</t>
  </si>
  <si>
    <t>+ Zugkraft</t>
  </si>
  <si>
    <t>+ tracción</t>
  </si>
  <si>
    <t>+ tração</t>
  </si>
  <si>
    <t>- Druckkraft</t>
  </si>
  <si>
    <t>- compresión</t>
  </si>
  <si>
    <t>- compressão</t>
  </si>
  <si>
    <t>+ fibras inferiores en tracción</t>
  </si>
  <si>
    <t>+ fibres tendues inférieures</t>
  </si>
  <si>
    <t>+ fibras tensionadas inferiores</t>
  </si>
  <si>
    <t>- fibras superiores en tracción</t>
  </si>
  <si>
    <t>- fibres tendues supérieures</t>
  </si>
  <si>
    <t>- fibras tensionadas superiores</t>
  </si>
  <si>
    <t>Dauerhaft</t>
  </si>
  <si>
    <t>Lang</t>
  </si>
  <si>
    <t>Larga</t>
  </si>
  <si>
    <t>Longue</t>
  </si>
  <si>
    <t>Longa</t>
  </si>
  <si>
    <t>Mittel</t>
  </si>
  <si>
    <t>Moyenne</t>
  </si>
  <si>
    <t>Média</t>
  </si>
  <si>
    <t>Kurz</t>
  </si>
  <si>
    <t>Corta</t>
  </si>
  <si>
    <t>Courte</t>
  </si>
  <si>
    <t>Curta</t>
  </si>
  <si>
    <t>Sofort wirkend</t>
  </si>
  <si>
    <t>Instantánea</t>
  </si>
  <si>
    <t>Instantanée</t>
  </si>
  <si>
    <t>Instantânea</t>
  </si>
  <si>
    <t>Kurz/Sofort wirkend</t>
  </si>
  <si>
    <t>Corta/Instantánea</t>
  </si>
  <si>
    <t>Brève/Instantanée</t>
  </si>
  <si>
    <t>Curta/Instantânea</t>
  </si>
  <si>
    <t>Zusammensetzung Platte</t>
  </si>
  <si>
    <t>Composición del panel</t>
  </si>
  <si>
    <t>Composition du panneau</t>
  </si>
  <si>
    <t>Composição do painel</t>
  </si>
  <si>
    <t>Klasse</t>
  </si>
  <si>
    <t>Clase</t>
  </si>
  <si>
    <t>Anz. Schichten</t>
  </si>
  <si>
    <t>Número de capas</t>
  </si>
  <si>
    <t>N° de couches</t>
  </si>
  <si>
    <t>N.º camadas</t>
  </si>
  <si>
    <t>Typ</t>
  </si>
  <si>
    <t>Stärke</t>
  </si>
  <si>
    <t>Espesor</t>
  </si>
  <si>
    <t>Épaisseur</t>
  </si>
  <si>
    <t>Espessura</t>
  </si>
  <si>
    <t xml:space="preserve">Ausrichtung </t>
  </si>
  <si>
    <t xml:space="preserve">Orientación </t>
  </si>
  <si>
    <t xml:space="preserve">Orientation </t>
  </si>
  <si>
    <t xml:space="preserve">Orientação </t>
  </si>
  <si>
    <t>L-Fasern äußere Schichten senkrecht zur Verbindungslinie</t>
  </si>
  <si>
    <t>L-Fibras capas externas perpendiculares a la línea de unión</t>
  </si>
  <si>
    <t>L-Fibre couches externes perpendiculaires à la ligne de l'assemblage</t>
  </si>
  <si>
    <t>L-Fibras das camadas exteriores perpendiculares à linha de junção</t>
  </si>
  <si>
    <t>T-Fasern äußere Schichten parallel zur Verbindungslinie</t>
  </si>
  <si>
    <t>T-Fibras capas externas paralelas a la línea de unión</t>
  </si>
  <si>
    <t>T-Fibre couches externes parallèles à la ligne de l'assemblage</t>
  </si>
  <si>
    <t>T-Fibras das camadas exteriores paralelas à linha de junção</t>
  </si>
  <si>
    <t>Schrauben</t>
  </si>
  <si>
    <t>Tornillos</t>
  </si>
  <si>
    <t>Vis</t>
  </si>
  <si>
    <t>Parafusos</t>
  </si>
  <si>
    <t>Tipo de tornillo</t>
  </si>
  <si>
    <t>Type de vis</t>
  </si>
  <si>
    <t>Tipo de parafuso</t>
  </si>
  <si>
    <t>Durchmesser</t>
  </si>
  <si>
    <t>Diámetro</t>
  </si>
  <si>
    <t>Diamètre</t>
  </si>
  <si>
    <t>Diâmetro</t>
  </si>
  <si>
    <t xml:space="preserve">Länge </t>
  </si>
  <si>
    <t xml:space="preserve">Longitud </t>
  </si>
  <si>
    <t xml:space="preserve">Longueur </t>
  </si>
  <si>
    <t xml:space="preserve">Comprimento </t>
  </si>
  <si>
    <t>Oberer Abstand</t>
  </si>
  <si>
    <t>Separación superior</t>
  </si>
  <si>
    <t>Espacement supérieur</t>
  </si>
  <si>
    <t>Espaçamento superior</t>
  </si>
  <si>
    <t>Unterer Abstand</t>
  </si>
  <si>
    <t>Separación inferior</t>
  </si>
  <si>
    <t>Espacement inférieur</t>
  </si>
  <si>
    <t>Espaçamento inferior</t>
  </si>
  <si>
    <t>Tabla (Y/N)</t>
  </si>
  <si>
    <t>Lame (Y/N)</t>
  </si>
  <si>
    <t>Tabela (S/N)</t>
  </si>
  <si>
    <t>Anzahl obere Schrauben/Meter</t>
  </si>
  <si>
    <t>Número de tornillos superiores/metro</t>
  </si>
  <si>
    <t>Nombre de vis supérieures/mètre</t>
  </si>
  <si>
    <t>Número de parafusos superiores/metro</t>
  </si>
  <si>
    <t>Anzahl untere Schrauben/Meter</t>
  </si>
  <si>
    <t>Número de tornillos inferiores/metro</t>
  </si>
  <si>
    <t>Nombre de vis inférieures/mètre</t>
  </si>
  <si>
    <t>Número de parafusos inferiores/metro</t>
  </si>
  <si>
    <t>Longitud del anclaje mínima (hormigón)</t>
  </si>
  <si>
    <t>Longueur ancrage minimum (Concrete)</t>
  </si>
  <si>
    <t>Comprimento mínimo de ancoragem (Concrete)</t>
  </si>
  <si>
    <t>Longitud de superposición mínima (hormigón)</t>
  </si>
  <si>
    <t>Longueur de superposition minimum (Concrete)</t>
  </si>
  <si>
    <t>Comprimento mínimo de sobreposição (Concrete)</t>
  </si>
  <si>
    <t>Longitud de penetración mínima (timber)</t>
  </si>
  <si>
    <t>Longueur de pénétration minimum (Timber)</t>
  </si>
  <si>
    <t>Comprimento mínimo de penetração (Timber)</t>
  </si>
  <si>
    <t>Randabstand a4t</t>
  </si>
  <si>
    <t>Distancia borde a4t</t>
  </si>
  <si>
    <t>Distance bord a4t</t>
  </si>
  <si>
    <t>Distância do bordo a4t</t>
  </si>
  <si>
    <t>Minimaler Randabstand a4t</t>
  </si>
  <si>
    <t>Distancia mínima borde a4t</t>
  </si>
  <si>
    <t>Distance minimum bord a4t</t>
  </si>
  <si>
    <t>Distância mínima do bordo a4t</t>
  </si>
  <si>
    <t>Beton</t>
  </si>
  <si>
    <t>Hormigón</t>
  </si>
  <si>
    <t>Béton</t>
  </si>
  <si>
    <t>Betão</t>
  </si>
  <si>
    <t>Klasse Beton</t>
  </si>
  <si>
    <t>Clase de hormigón</t>
  </si>
  <si>
    <t>Classe du béton</t>
  </si>
  <si>
    <t>Classe do betão</t>
  </si>
  <si>
    <t>Durchmesser Bügel</t>
  </si>
  <si>
    <t>Diámetro estribos</t>
  </si>
  <si>
    <t>Diamètre étriers</t>
  </si>
  <si>
    <t>Diâmetro do estribo</t>
  </si>
  <si>
    <t>Durchmesser Längseisen</t>
  </si>
  <si>
    <t>Diámetro barras longitudinales</t>
  </si>
  <si>
    <t>Diamètre barres longitudinales</t>
  </si>
  <si>
    <t>Diâmetro da armadura longitudinais</t>
  </si>
  <si>
    <t>Diámetro áridos (*)</t>
  </si>
  <si>
    <t>Diamètre agrégat (*)</t>
  </si>
  <si>
    <t>Diâmetro do agregado (*)</t>
  </si>
  <si>
    <t>Klasse Umweltexposition</t>
  </si>
  <si>
    <t>Clase de exposición ambiental</t>
  </si>
  <si>
    <t>Classe d’exposition environnementale</t>
  </si>
  <si>
    <t>Classe de exposição ambiental</t>
  </si>
  <si>
    <t>Min. Betondeckung Bügel</t>
  </si>
  <si>
    <t>Recubrimiento mínimo estribos</t>
  </si>
  <si>
    <t>Enrobage minimum étriers</t>
  </si>
  <si>
    <t>Cobrimento mínimo dos estribros</t>
  </si>
  <si>
    <t>Recubrimiento mínimo barras longitudinales</t>
  </si>
  <si>
    <t>Enrobage minimum barres longitudinales</t>
  </si>
  <si>
    <t>Cobrimento mínimo das barras longitudinais</t>
  </si>
  <si>
    <t>Abstand Achse Längseisen</t>
  </si>
  <si>
    <t>Distancia eje barras longitudinales</t>
  </si>
  <si>
    <t>Distance axe barres longitudinales</t>
  </si>
  <si>
    <t>Distância do eixo dos ferros longitudinais</t>
  </si>
  <si>
    <t>Min. Breite Aufkantung</t>
  </si>
  <si>
    <t>Anchura mínima dala</t>
  </si>
  <si>
    <t>Largeur minimum bordure</t>
  </si>
  <si>
    <t>Largura mínima do lancil</t>
  </si>
  <si>
    <t>Festigkeiten</t>
  </si>
  <si>
    <t>Resistencias</t>
  </si>
  <si>
    <t>Résistances</t>
  </si>
  <si>
    <t>Resistências</t>
  </si>
  <si>
    <t>Druckfestigkeit Holz (Design)</t>
  </si>
  <si>
    <t>Resistencia a la compresión madera (diseño)</t>
  </si>
  <si>
    <t>Résistance à la compression bois (design)</t>
  </si>
  <si>
    <t>Resistência à compressão madeira (design)</t>
  </si>
  <si>
    <t>Druckfestigkeit Beton (Design)</t>
  </si>
  <si>
    <t>Resistencia a la compresión hormigón (diseño)</t>
  </si>
  <si>
    <t>Résistance à la compression béton CLS (design)</t>
  </si>
  <si>
    <t>Resistência à compressão CLS (design)</t>
  </si>
  <si>
    <t>Verbundspannung</t>
  </si>
  <si>
    <t>Tensión de adhesión</t>
  </si>
  <si>
    <t>Tension d’adhérence</t>
  </si>
  <si>
    <t>Tensão de aderência</t>
  </si>
  <si>
    <t>Wirksame Geometrie</t>
  </si>
  <si>
    <t>Geometría efectiva</t>
  </si>
  <si>
    <t>Géométrie effective</t>
  </si>
  <si>
    <t>Geometria efetiva</t>
  </si>
  <si>
    <t>Longitud efectiva dala</t>
  </si>
  <si>
    <t>Largeur effective bordure</t>
  </si>
  <si>
    <t>Largura efetiva do lancil</t>
  </si>
  <si>
    <t>Länge Überlappung</t>
  </si>
  <si>
    <t>Longitud de superposición</t>
  </si>
  <si>
    <t>Longueur de superposition</t>
  </si>
  <si>
    <t>Comprimento de sobreposição</t>
  </si>
  <si>
    <t>Länge Verankerung</t>
  </si>
  <si>
    <t>Longitud de anclaje</t>
  </si>
  <si>
    <t>Longueur d’ancrage</t>
  </si>
  <si>
    <t>Comprimento de ancoragem</t>
  </si>
  <si>
    <t>Distancia desde el borde real tornillos</t>
  </si>
  <si>
    <t>Distance du bord réel des vis</t>
  </si>
  <si>
    <t>Distância do bordo real dos parafusos</t>
  </si>
  <si>
    <t>Comprobación coherencia posición tornillos/barras</t>
  </si>
  <si>
    <t>Vérification cohérence position vis/barres</t>
  </si>
  <si>
    <t>Verificação da coerência da posição dos parafusos/ferros</t>
  </si>
  <si>
    <t>Abstand Schrauben oberer Rand</t>
  </si>
  <si>
    <t>Distancia tornillos borde superior</t>
  </si>
  <si>
    <t>Distance vis section supérieure</t>
  </si>
  <si>
    <t>Distância dos parafusos da aba superior</t>
  </si>
  <si>
    <t>Länge Schraubengewinde BET(*)</t>
  </si>
  <si>
    <t>Longitud rosca tornillo HORM (*)</t>
  </si>
  <si>
    <t>Longueur filetage vis CA (*)</t>
  </si>
  <si>
    <t>Comprimento da rosca do parafuso CA (*)</t>
  </si>
  <si>
    <t>Länge Schraubengewinde Holz</t>
  </si>
  <si>
    <t>Longitud rosca tornillo Madera</t>
  </si>
  <si>
    <t>Longueur filetage vis Bois</t>
  </si>
  <si>
    <t>Comprimento da rosca do parafuso Madeira</t>
  </si>
  <si>
    <t>Wirksame Länge Schraubengewinde Holz</t>
  </si>
  <si>
    <t>Longitud eficaz rosca tornillo Madera</t>
  </si>
  <si>
    <t>Longueur efficace filetage vis Bois</t>
  </si>
  <si>
    <t>Comprimento eficaz da rosca do parafuso Madeira</t>
  </si>
  <si>
    <t>Abstand zwischen oberen/unteren Schrauben</t>
  </si>
  <si>
    <t>Distancia entre tornillos superiores/inferiores</t>
  </si>
  <si>
    <t>Distance entre vis supérieures/inférieures</t>
  </si>
  <si>
    <t>Distância entre os parafusos superiores/inferiores</t>
  </si>
  <si>
    <t>(*) Se supone que el tornillo penetra en la dala hasta la barra de armadura opuesta</t>
  </si>
  <si>
    <t>(*) nous supposons que la vis pénètre dans la bordure jusqu'à la barre d'armature opposée</t>
  </si>
  <si>
    <t>(*) assume-se que o parafuso penetra no lancil até à barra de armadura oposta</t>
  </si>
  <si>
    <t>Überprüfung</t>
  </si>
  <si>
    <t>Comprobación</t>
  </si>
  <si>
    <t>Vérification</t>
  </si>
  <si>
    <t>Verificação</t>
  </si>
  <si>
    <t>Max. Wirkung auf einzelne Schraube</t>
  </si>
  <si>
    <t>Acción máxima en un solo tornillo</t>
  </si>
  <si>
    <t>Action maximale sur chaque vis</t>
  </si>
  <si>
    <t>Ação máxima num único parafuso</t>
  </si>
  <si>
    <t>Axiale Festigkeit einzelne Schraube Seite Holz/Stahl</t>
  </si>
  <si>
    <t>Resistencia axial un solo tornillo lado madera/acero</t>
  </si>
  <si>
    <t>Résistance axiale d’une vis côté bois/acier</t>
  </si>
  <si>
    <t>Resistência axial num único parafuso lado madeira/aço</t>
  </si>
  <si>
    <t xml:space="preserve">Axiale Beanspruchung </t>
  </si>
  <si>
    <t xml:space="preserve">Coeficiente de trabajo esfuerzo axial </t>
  </si>
  <si>
    <t xml:space="preserve">Taux de travail effort axial </t>
  </si>
  <si>
    <t xml:space="preserve">Taxa de trabalho esforço axial </t>
  </si>
  <si>
    <t>Max. Scherkraft</t>
  </si>
  <si>
    <t>Máxima acción de corte</t>
  </si>
  <si>
    <t>Action tranchante maximale</t>
  </si>
  <si>
    <t>Ação de corte máxima</t>
  </si>
  <si>
    <t xml:space="preserve">Scherfestigkeit einzelne Schraube </t>
  </si>
  <si>
    <t xml:space="preserve">Resistencia al corte de un solo tornillo </t>
  </si>
  <si>
    <t xml:space="preserve">Résistance au cisaillement de chaque vis </t>
  </si>
  <si>
    <t xml:space="preserve">Resistência ao corte de cada parafuso </t>
  </si>
  <si>
    <t xml:space="preserve">Scherbeanspruchung </t>
  </si>
  <si>
    <t xml:space="preserve">Coeficiente de trabajo esfuerzo corte </t>
  </si>
  <si>
    <t xml:space="preserve">Taux de travail effort au cisaillement </t>
  </si>
  <si>
    <t xml:space="preserve">Taxa de trabalho esforço de corte </t>
  </si>
  <si>
    <t xml:space="preserve">Kombinierte Scher-Zug-Beanspruchung </t>
  </si>
  <si>
    <t xml:space="preserve">Coeficiente de trabajo combinación corte tracción </t>
  </si>
  <si>
    <t xml:space="preserve">Taux de travail combinaison cisaillement traction </t>
  </si>
  <si>
    <t xml:space="preserve">Taxa de trabalho combinada corte tração </t>
  </si>
  <si>
    <t>Überprüfung Verankerung Betonseite</t>
  </si>
  <si>
    <t>Comprobación anclaje lado hormigón</t>
  </si>
  <si>
    <t>Vérification ancrage côté béton</t>
  </si>
  <si>
    <t>Verificação da ancoragem do lado do betão</t>
  </si>
  <si>
    <t>Wirksame Länge</t>
  </si>
  <si>
    <t>Longitud efectiva</t>
  </si>
  <si>
    <t>Longueur effective</t>
  </si>
  <si>
    <t>Comprimento efetivo</t>
  </si>
  <si>
    <t>Min. Länge Verankerung</t>
  </si>
  <si>
    <t>Longitud mínimo anclaje</t>
  </si>
  <si>
    <t>Longueur minimum ancrage</t>
  </si>
  <si>
    <t>Comprimento mínimo de ancoragem</t>
  </si>
  <si>
    <t xml:space="preserve">Beanspruchung </t>
  </si>
  <si>
    <t xml:space="preserve">Coeficiente de trabajo </t>
  </si>
  <si>
    <t xml:space="preserve">Taux de travail </t>
  </si>
  <si>
    <t xml:space="preserve">Taxa de trabalho </t>
  </si>
  <si>
    <t>Longitud mínima solapamiento</t>
  </si>
  <si>
    <t>Longueur minimum overlap</t>
  </si>
  <si>
    <t>Comprimento mínimo de overlap</t>
  </si>
  <si>
    <t>Beanspruchung</t>
  </si>
  <si>
    <t>Coeficiente de trabajo</t>
  </si>
  <si>
    <t>Taux de travail</t>
  </si>
  <si>
    <t>Taxa de trabalho</t>
  </si>
  <si>
    <t>Steifigkeiten</t>
  </si>
  <si>
    <t>Rigideces</t>
  </si>
  <si>
    <t>Rigidités</t>
  </si>
  <si>
    <t>Rigidez</t>
  </si>
  <si>
    <t>Scherfestigkeit</t>
  </si>
  <si>
    <t>Rigidez al corte</t>
  </si>
  <si>
    <t>Rigidité au cisaillement</t>
  </si>
  <si>
    <t>Rigidez ao corte</t>
  </si>
  <si>
    <t>Axiale Steifigkeit</t>
  </si>
  <si>
    <t>Rigidez axial</t>
  </si>
  <si>
    <t>Rigidité axiale</t>
  </si>
  <si>
    <t>Drehsteifigkeit (*)</t>
  </si>
  <si>
    <t>Rigidez rotacional (*)</t>
  </si>
  <si>
    <t>Rigidité en rotation (*)</t>
  </si>
  <si>
    <t>Berechnung Nulllinie - Biegung</t>
  </si>
  <si>
    <t>Cálculo eje neutro - Flexión</t>
  </si>
  <si>
    <t>Calcul axe neutre - Flexion</t>
  </si>
  <si>
    <t>Cálculo do eixo neutro - Flexão</t>
  </si>
  <si>
    <t xml:space="preserve">Biegesteifigkeit in Bezug auf Schrauben </t>
  </si>
  <si>
    <t xml:space="preserve">Momento de flexión respecto a los tornillos </t>
  </si>
  <si>
    <t xml:space="preserve">Moment fléchissant par rapport aux vis </t>
  </si>
  <si>
    <t xml:space="preserve">Momento fletor em relação aos parafusos </t>
  </si>
  <si>
    <t xml:space="preserve">Nulllinie </t>
  </si>
  <si>
    <t xml:space="preserve">Eje neutro </t>
  </si>
  <si>
    <t xml:space="preserve">Axe neutre </t>
  </si>
  <si>
    <t xml:space="preserve">Eixo neutro </t>
  </si>
  <si>
    <t xml:space="preserve">Parte comprimida primera lámina </t>
  </si>
  <si>
    <t xml:space="preserve">Portion comprimée première lame </t>
  </si>
  <si>
    <t xml:space="preserve">Parte comprimida primeira lamela </t>
  </si>
  <si>
    <t xml:space="preserve">Parte comprimida segunda lámina </t>
  </si>
  <si>
    <t xml:space="preserve">Portion comprimée deuxième lame </t>
  </si>
  <si>
    <t xml:space="preserve">Parte comprimida segunda lamela </t>
  </si>
  <si>
    <t xml:space="preserve">Parte comprimida tercera lámina </t>
  </si>
  <si>
    <t xml:space="preserve">Portion comprimée troisième lame </t>
  </si>
  <si>
    <t xml:space="preserve">Parte comprimida terceira lamela </t>
  </si>
  <si>
    <t xml:space="preserve">Resultierende Position </t>
  </si>
  <si>
    <t xml:space="preserve">Posición resultante </t>
  </si>
  <si>
    <t xml:space="preserve">Position résultante </t>
  </si>
  <si>
    <t xml:space="preserve">Posição resultante </t>
  </si>
  <si>
    <t>Brazo de palanca</t>
  </si>
  <si>
    <t>Bras de levier</t>
  </si>
  <si>
    <t>Braço de alavanca</t>
  </si>
  <si>
    <t>Berechnung Belastungen</t>
  </si>
  <si>
    <t>Cálculo esfuerzos</t>
  </si>
  <si>
    <t>Calcul des efforts</t>
  </si>
  <si>
    <t>Cálculo dos esforços</t>
  </si>
  <si>
    <t>Acción máxima en todos los tornillos</t>
  </si>
  <si>
    <t>Action maximale sur toutes les vis</t>
  </si>
  <si>
    <t>Ação máxima em todos os parafusos</t>
  </si>
  <si>
    <t>Acción máxima en un solo tornillo (*)</t>
  </si>
  <si>
    <t>Action maximale sur chaque vis (*)</t>
  </si>
  <si>
    <t>Ação máxima num único parafuso (*)</t>
  </si>
  <si>
    <t>Acción máxima tornillos dentro del plano en un solo tornillo superior</t>
  </si>
  <si>
    <t>Action maximale des vis en plan sur chaque vis supérieure</t>
  </si>
  <si>
    <t>Ação máxima dos parafusos em plano num único parafuso superior</t>
  </si>
  <si>
    <t>Acción máxima tornillos dentro del plano en un solo tornillo inferior</t>
  </si>
  <si>
    <t>Action maximale des vis en plan sur chaque vis inférieure</t>
  </si>
  <si>
    <t>Ação máxima dos parafusos em plano num único parafuso inferior</t>
  </si>
  <si>
    <t>Acción máxima tornillos fuera del plano en un solo tornillo superior</t>
  </si>
  <si>
    <t>Action maximale des vis hors plan sur chaque vis supérieure</t>
  </si>
  <si>
    <t>Ação máxima dos parafusos fora do plano num único parafuso superior</t>
  </si>
  <si>
    <t>Acción máxima tornillos fuera del plano en un solo tornillo inferior</t>
  </si>
  <si>
    <t>Action maximale des vis hors plan sur chaque vis inférieure</t>
  </si>
  <si>
    <t>Ação máxima dos parafusos fora do plano num único parafuso inferior</t>
  </si>
  <si>
    <t>Acción combinada en un solo tornillo superior</t>
  </si>
  <si>
    <t>Action combinée sur chaque vis supérieure</t>
  </si>
  <si>
    <t>Ação combinada num único parafuso superior</t>
  </si>
  <si>
    <t>Acción combinada en un solo tornillo inferior</t>
  </si>
  <si>
    <t>Action combinée sur chaque vis inférieure</t>
  </si>
  <si>
    <t>Ação combinada num único parafuso inferior</t>
  </si>
  <si>
    <t>(*) Se considera que la tracción es absorbida únicamente por los tornillos en la línea inferior</t>
  </si>
  <si>
    <t>(*) nous considérons que la traction est uniquement absorbée par les vis sur la ligne inférieure</t>
  </si>
  <si>
    <t>(*) considera-se que a tração só é absorvida pelos parafusos da linha inferior</t>
  </si>
  <si>
    <t>Fibras superiores en tracción</t>
  </si>
  <si>
    <t>Fibres supérieures tendues</t>
  </si>
  <si>
    <t>Fibras superiores tensionadas</t>
  </si>
  <si>
    <t>Geforderte Länge Verankerung</t>
  </si>
  <si>
    <t>Longitud anclaje requerida</t>
  </si>
  <si>
    <t>Longueur ancrage requise</t>
  </si>
  <si>
    <t>Comprimento de ancoragem requerido</t>
  </si>
  <si>
    <t>Longitud mínima anclaje</t>
  </si>
  <si>
    <t>Longueur ancrage minimum</t>
  </si>
  <si>
    <t>Longitud anclaje</t>
  </si>
  <si>
    <t xml:space="preserve">Longitud solapamiento </t>
  </si>
  <si>
    <t xml:space="preserve">Longueur overlap </t>
  </si>
  <si>
    <t xml:space="preserve">Comprimento de overlap </t>
  </si>
  <si>
    <t>Scher-/Biegesteifigkeit</t>
  </si>
  <si>
    <t>Rigidez corte/flexión</t>
  </si>
  <si>
    <t>Rigidité cisaillement/flexion</t>
  </si>
  <si>
    <t>Rigidez ao corte/de flexão</t>
  </si>
  <si>
    <t>erste Schicht</t>
  </si>
  <si>
    <t>primera capa</t>
  </si>
  <si>
    <t>première couche</t>
  </si>
  <si>
    <t>primeira camada</t>
  </si>
  <si>
    <t>25 % Stärke</t>
  </si>
  <si>
    <t>25 % espesor</t>
  </si>
  <si>
    <t>25 % épaisseur</t>
  </si>
  <si>
    <t>25% espessura</t>
  </si>
  <si>
    <t>a_t(25 %)</t>
  </si>
  <si>
    <t>Cálculo longitud comprimida por rigidez</t>
  </si>
  <si>
    <t>Longueur comprimée calcul pour rigidité</t>
  </si>
  <si>
    <t>Comprimento comprimido cálculo para rigidez</t>
  </si>
  <si>
    <t>Bezugsmoment</t>
  </si>
  <si>
    <t>Momento de referencia</t>
  </si>
  <si>
    <t>Moment de référence</t>
  </si>
  <si>
    <t>Momento de referência</t>
  </si>
  <si>
    <t>Kraft auf Bezugsschrauben</t>
  </si>
  <si>
    <t>Fuerza en los tornillos de referencia</t>
  </si>
  <si>
    <t>Force sur vis de référence</t>
  </si>
  <si>
    <t>Força nos parafusos de referência</t>
  </si>
  <si>
    <t>Bezugsbreite</t>
  </si>
  <si>
    <t>Anchura de referencia</t>
  </si>
  <si>
    <t>Largeur de référence</t>
  </si>
  <si>
    <t>Largura de referência</t>
  </si>
  <si>
    <t xml:space="preserve">Druckfestigkeit </t>
  </si>
  <si>
    <t xml:space="preserve">Rigidez a compresión </t>
  </si>
  <si>
    <t xml:space="preserve">Rigidité à la compression </t>
  </si>
  <si>
    <t xml:space="preserve">Rigidez à compressão </t>
  </si>
  <si>
    <t>Tornillos en zona de tensión</t>
  </si>
  <si>
    <t>Vis en zone tendue</t>
  </si>
  <si>
    <t>Parafusos na zona tensionada</t>
  </si>
  <si>
    <t>Deformación de la zona comprimida</t>
  </si>
  <si>
    <t>Déformation de la zone comprimée</t>
  </si>
  <si>
    <t>Deformação da zona comprimida</t>
  </si>
  <si>
    <t>Verformung Befestigungen</t>
  </si>
  <si>
    <t>Deformación de las fijaciones</t>
  </si>
  <si>
    <t>Déformation des fixations</t>
  </si>
  <si>
    <t>Deformação das fixações</t>
  </si>
  <si>
    <t>Einzelner Drehwinkel</t>
  </si>
  <si>
    <t>Ángulo de rotación unitario</t>
  </si>
  <si>
    <t>Angle de rotation unitaire</t>
  </si>
  <si>
    <t>Ângulo de rotação unitário</t>
  </si>
  <si>
    <t>bearbeitbare Zellen</t>
  </si>
  <si>
    <t>celdas editables</t>
  </si>
  <si>
    <t>cases éditables</t>
  </si>
  <si>
    <t>células editáveis</t>
  </si>
  <si>
    <t>Distancia de la línea de tornillos bajos desde el borde CLT</t>
  </si>
  <si>
    <t>Distance de la ligne de vis basses depuis le bord CLT</t>
  </si>
  <si>
    <t>Distância da linha de parafusos baixos do bordo CLT</t>
  </si>
  <si>
    <t>Tabla</t>
  </si>
  <si>
    <t>Lame</t>
  </si>
  <si>
    <t>Soalho</t>
  </si>
  <si>
    <t>Position Längseisen</t>
  </si>
  <si>
    <t>Posición barra longitudinal</t>
  </si>
  <si>
    <t>Position barre longitudinale</t>
  </si>
  <si>
    <t>Posição da armadura longitudinal</t>
  </si>
  <si>
    <t>Längseisen (1/2 Durchm.)</t>
  </si>
  <si>
    <t>Barra longitudinal (1/2 diám.)</t>
  </si>
  <si>
    <t>Barre longitudinale (1/2 dia.)</t>
  </si>
  <si>
    <t>Armadura longitudinal (1/2 dia.)</t>
  </si>
  <si>
    <t>Toleranz bei Biegung der Bügel</t>
  </si>
  <si>
    <t>Tolerancia en curvatura estribos</t>
  </si>
  <si>
    <t>Tolérance sur courbure des étriers</t>
  </si>
  <si>
    <t>Tolerância em curvatura dos estribos</t>
  </si>
  <si>
    <t>Schrauben (1/2 Durchm.)</t>
  </si>
  <si>
    <t>Tornillo (1/2 diám.)</t>
  </si>
  <si>
    <t>Vis (1/2 dia.)</t>
  </si>
  <si>
    <t>Parafuso (1/2 dia.)</t>
  </si>
  <si>
    <t>Min. geforderte Betondeckung [mm]</t>
  </si>
  <si>
    <t>Recubrimiento mínimo requerido [mm]</t>
  </si>
  <si>
    <t>Enrobage minimum requis [mm]</t>
  </si>
  <si>
    <t>Cobirmento mínimo requerido [mm]</t>
  </si>
  <si>
    <t>Konstruktionsklasse</t>
  </si>
  <si>
    <t>Clase estructural</t>
  </si>
  <si>
    <t>Classe structurelle</t>
  </si>
  <si>
    <t>Classe estrutural</t>
  </si>
  <si>
    <t>Min. Betondeckung für die Bügel</t>
  </si>
  <si>
    <t>Recubrimiento mínimo para estribos</t>
  </si>
  <si>
    <t>Enrobage minimum pour les étriers</t>
  </si>
  <si>
    <t>Min. Betondeckung für die Längsstangen</t>
  </si>
  <si>
    <t>Recubrimiento mínimo para barras longitudinales</t>
  </si>
  <si>
    <t>Enrobage minimum pour les barres longitudinales</t>
  </si>
  <si>
    <t>Abstand von Achse der Längsstangen</t>
  </si>
  <si>
    <t>Distancia desde el eje de las barras longitudinales</t>
  </si>
  <si>
    <t>Distance par rapport à l’axe des barres longitudinales</t>
  </si>
  <si>
    <t>Distância do eixo das barras longitudinais</t>
  </si>
  <si>
    <t>Platten</t>
  </si>
  <si>
    <t>Paneles</t>
  </si>
  <si>
    <t>Panneaux</t>
  </si>
  <si>
    <t>Painéis</t>
  </si>
  <si>
    <t>Beiw. Verbindung Holz</t>
  </si>
  <si>
    <t>coef. conexión madera</t>
  </si>
  <si>
    <t>coeff. connexion bois</t>
  </si>
  <si>
    <t>coef. ligação da madeira</t>
  </si>
  <si>
    <t>Beiw. Material Stahl</t>
  </si>
  <si>
    <t>coef. material acero</t>
  </si>
  <si>
    <t>coeff. matériau acier</t>
  </si>
  <si>
    <t>coef. material de aço</t>
  </si>
  <si>
    <t>Beiw. Material Beton</t>
  </si>
  <si>
    <t>coef. material hormigón</t>
  </si>
  <si>
    <t>coeff. matériau béton</t>
  </si>
  <si>
    <t>coef. material de betão</t>
  </si>
  <si>
    <t>Axiale Festigkeit - Beton</t>
  </si>
  <si>
    <t>Resistencia axial - Hormigón</t>
  </si>
  <si>
    <t>Résistance axiale - Béton</t>
  </si>
  <si>
    <t>Resistência axial - Betão</t>
  </si>
  <si>
    <t>Axiale Festigkeit - Holz</t>
  </si>
  <si>
    <t>Resistencia axial - Madera</t>
  </si>
  <si>
    <t>Résistance axiale - Bois</t>
  </si>
  <si>
    <t>Resistência axial - Madeira</t>
  </si>
  <si>
    <t>Scherfestigkeit - Holz</t>
  </si>
  <si>
    <t>Resistencia al corte - Madera</t>
  </si>
  <si>
    <t>Résistance au cisaillement - Bois</t>
  </si>
  <si>
    <t>Resistência ao corte - Madeira</t>
  </si>
  <si>
    <t>Scherfestigkeit - Stahl</t>
  </si>
  <si>
    <t>Resistencia al corte - Acero</t>
  </si>
  <si>
    <t>Résistance au cisaillement - Acier</t>
  </si>
  <si>
    <t>Resistência ao corte - Aço</t>
  </si>
  <si>
    <t>Seitensteifigkeit für Einzelschraube</t>
  </si>
  <si>
    <t>Rigidez lateral para un solo tornillo</t>
  </si>
  <si>
    <t>Rigidité latérale pour chaque vis</t>
  </si>
  <si>
    <t>Rigidez lateral para parafuso único</t>
  </si>
  <si>
    <t>ANMERKUNGEN</t>
  </si>
  <si>
    <t>NOTAS</t>
  </si>
  <si>
    <t>Vor dem Bau müssen alle Berechnungen vom verantwortlichen Planer geprüft und freigegeben werden.</t>
  </si>
  <si>
    <t>Antes de la construcción, todos los cálculos deben ser comprobados y aprobados por el proyectista responsable.</t>
  </si>
  <si>
    <t>Avant la construction, tous les calculs doivent être vérifiés et approuvés par le concepteur responsable.</t>
  </si>
  <si>
    <t>Antes da construção, todos os cálculos devem ser verificados e aprovados pelo projetista responsável.</t>
  </si>
  <si>
    <t>Die Werte der mechanischen Festigkeit und Geometrie beziehen sich auf die Produktzertifizierung.</t>
  </si>
  <si>
    <t>Los valores de resistencia mecánica y la geometría se refieren a la certificación del producto.</t>
  </si>
  <si>
    <t>Les valeurs de résistance mécanique et la géométrie se réfèrent à la certification du produit.</t>
  </si>
  <si>
    <t>Os valores de resistência mecânica e a geometria referem-se à certificação do produto.</t>
  </si>
  <si>
    <t>Die Überprüfung der Festigkeit des Systems auf der Seite der Verankerung am Beton muss separat gemäß den Angaben in ETA-22/0806 - Anhang E1 durchgeführt werden.</t>
  </si>
  <si>
    <t>La comprobación de la resistencia del sistema lado anclaje al hormigón deberá realizarse por separado siguiendo las indicaciones de ETA-22/0806 - Annex E1.</t>
  </si>
  <si>
    <t>La vérification de la résistance du système côté ancrage au béton doit être effectuée séparément conformément à l’ETA-22/0806 - Annexe E1.</t>
  </si>
  <si>
    <t>A verificação da resistência do sistema do lado de ancoragem ao betão deve ser efetuada separadamente, de acordo com a ETA-22/0806 - Anexo E1.</t>
  </si>
  <si>
    <t>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t>
  </si>
  <si>
    <t>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t>
  </si>
  <si>
    <t>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t>
  </si>
  <si>
    <t>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t>
  </si>
  <si>
    <t>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t>
  </si>
  <si>
    <t>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t>
  </si>
  <si>
    <t>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t>
  </si>
  <si>
    <t>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t>
  </si>
  <si>
    <t>ALLGEMEINE BEDINGUNGEN DES LIZENZVERTRAGS ZUR NUTZUNG DES TABELLENKALKULATIONSPROGRAMMS „TC_FUSION_CALCULATOR“</t>
  </si>
  <si>
    <t>CONDICIONES GENERALES DEL CONTRATO DE LICENCIA DE USO PARA LA HOJA DE CÁLCULO “TC_FUSION_CALCULATOR”</t>
  </si>
  <si>
    <t>CONDITIONS GÉNÉRALES DU CONTRAT DE LICENCE D'UTILISATION DE LA FEUILLE DE CALCUL « TC_FUSION_CALCULATOR »</t>
  </si>
  <si>
    <t>CONDIÇÕES GERAIS DO CONTRATO DE LICENÇA PARA A UTILIZAÇÃO DA FOLHA DE CÁLCULO “TC_FUSION_CALCULATOR”</t>
  </si>
  <si>
    <t>1. BETREFF</t>
  </si>
  <si>
    <t>1. OBJETO</t>
  </si>
  <si>
    <t>1. OBJET</t>
  </si>
  <si>
    <t>Mit diesen Allgemeinen Bedingungen (oder „Vertrag“) gewährt ROTHO BLAAS GmbH mit Sitz in I-39040 Kurtatsch (BZ), Etschweg 2/1 (nachfolgend „RB“) dem Benutzer das nicht exklusive und widerrufliche Recht, das Tabellenkalkulationsprogramm „CALC“ (nachfolgend „XLS“) zu den im Folgenden angegebenen Bedingungen und für die Laufzeit dieses Vertrags unentgeltlich zu verwenden.
Dieser Vertrag regelt somit das Verhältnis zwischen dem Benutzer und RB in Bezug auf die Verwendung des besagten Tabellenkalkulationsprogramms. Wenn der Benutzer CALC herunterlädt und verwendet, akzeptiert er diesen Vertrag und die dort aufgeführten Bedingungen.
CALC ermöglicht dem Benutzer, statische Berechnungen ausschließlich für jene Produkte und Materialien vorzunehmen, die in jeder seiner Sektionen angegeben sind. Durch diesen Vertrag ist die Verwendung von CALC für die Fertigung nicht angegebener Produkte ausdrücklich untersagt.
RB bietet keine Garantie für die rechtliche Konformität und die Konformität mit dem Berechnungsprojekt und bezweckt, ausschließlich ein indikatives Berechnungstool bereitzustellen, bei dem es sich um eine technisch-kommerzielle Leistung im Rahmen der Vertriebstätigkeit handelt.</t>
  </si>
  <si>
    <t>Con estas Condiciones Generales (o “Contrato”), ROTHO BLAAS SRL, con domicilio en I-39040 Cortaccia (BZ), Via dell'Adige 2/1 (en lo sucesivo, “RB”), otorga al usuario el derecho no exclusivo y revocable para usar, a título gratuito, la hoja de cálculo “--” (en lo sucesivo, “CALC”) en las condiciones indicadas a continuación y mientras esté vigente el Contrato.
Por lo tanto, este contrato tiene por objeto regular la relación entre el usuario y RB con respecto al uso de dicha hoja de cálculo. En el momento en que el usuario descarga y usa CALC, acepta este Contrato y las condiciones indicadas.
CALC permite al usuario realizar cálculos estáticos exclusivamente para los productos y los materiales indicados en cada una de sus secciones. Este Contrato prohíbe expresamente el uso de CALC para realizar cálculos para productos que no estén indicados.
En cualquier caso, RB no proporciona ninguna garantía sobre la conformidad legal ni con el proyecto de cálculos y solo pretende proporcionar una herramienta de cálculo indicativo, como servicio técnico-comercial en el ámbito de la actividad de ventas.</t>
  </si>
  <si>
    <t>Avec les présentes Conditions Générales (ou « Contrat »), ROTHO BLAAS SRL, dont le siège se situe I-39040 Cortaccia (BZ), Via dell'Adige 2/1 (ci-après « RB »), donne à l'utilisateur le droit non exclusif et révocable d'utiliser à titre gratuit la feuille de calcul « -- » (ci-après « CALC »), aux conditions indiquées ci-après et pour la durée du présent Contrat.
Le présent contrat régit ainsi le rapport entre l'utilisateur et RB concernant l'utilisation de la feuille de calcul mentionnée. Lorsque l'utilisateur télécharge et utilise CALC, il accepte le présent Contrat et les conditions indiquées.
CALC permet à l'utilisateur d'effectuer des calculs statiques, exclusivement pour les produits et les matériaux indiqués dans chacune des sections. Le présent Contrat interdit expressément d'utiliser CALC pour réaliser des produits non indiqués.
RB ne donne aucune garantie sur la conformité des calculs à la réglementation et au projet et fournit exclusivement un outil de calcul indicatif en tant que service technico-commercial dans le cadre de l'activité de vente.</t>
  </si>
  <si>
    <t>Com as presentes Condições Gerais (ou “Contrato”), a ROTHO BLAAS SRL, com sede em I-39040 Cortaccia (BZ), Via dell’Adige 2/1 (a seguir designada “RB”) concede ao Utilizador o direito não exclusivo e revogável de utilizar gratuitamente a folha de cálculo “--” (a seguir designada “CALC”) nas condições a seguir indicadas e durante o período de vigência do presente Contrato.
Este acordo rege, portanto, a relação entre o Utilizador e a RB no que diz respeito à utilização da referida folha de cálculo. Ao transferir e utilizar o CALC, o Utilizador aceita o presente Contrato e as Condições aqui estabelecidas.
O CALC permite ao Utilizador efetuar cálculos estáticos apenas para os produtos e materiais indicados em cada secção do mesmo. O presente Contrato proíbe expressamente a utilização de CALC para o fabrico de produtos não indicados.
A RB não garante, em caso algum, a conformidade legal e com a conceção dos cálculos, pretendendo fornecer apenas um instrumento de cálculo indicativo enquanto serviço técnico-comercial no âmbito das suas atividades de venda.</t>
  </si>
  <si>
    <t>2. TECHNISCHE VERWEISE</t>
  </si>
  <si>
    <t>2. REFERENCIAS TÉCNICAS</t>
  </si>
  <si>
    <t>2. RÉFÉRENCES TECHNIQUES</t>
  </si>
  <si>
    <t>2. REFERÊNCIAS TÉCNICAS</t>
  </si>
  <si>
    <t>RB hat die Prüfungen gemäß Grenzzustandsmethode laut DIN EN 1995-1-1 Eurocode 5 - Bemessung und Konstruktion von Holzbauten sowie DIN EN 1992-1-1 Eurocode 2 - Bemessung und Konstruktion von Stahlbeton- und Spannbetontragwerken vorgenommen. Bei den Werten für die mechanische Festigkeit und die Geometrie des Systems wurde auf die Angaben in der ETA-22/0806 Bezug genommen.</t>
  </si>
  <si>
    <t>RB ha efectuado las comprobaciones según el método de los estados límite de acuerdo con la norma EN 1995-1-1 Eurocódigo 5 - Proyecto de estructuras de madera y con la norma EN 1992-1-1 Eurocódigo 2 - Proyecto de estructuras de hormigón. Para los valores de resistencia mecánica y para la geometría de los clavos se han tomado como referencia las indicaciones de ETA-22/0806.</t>
  </si>
  <si>
    <t>RB a effectué les vérifications selon la méthode des états-limites conformément à l'Eurocode 5 EN 1995-1-1 Conception et calcul des structures en bois et l'Eurocode 2 EN 1992-1-1 Conception et calcul des structures en béton. Pour les valeurs de résistance mécanique et pour la géométrie du système, il a été fait référence à l’ETA-22/0806.</t>
  </si>
  <si>
    <t>A RB efetuou as verificações segundo o método dos Estados-Limite em conformidade com a EN 1995-1-1 Eurocódigo 5 - Conceção de estruturas de madeira e a EN 1992-1-1 Eurocódigo 2 - Conceção de estruturas de betão. Para os valores de resistência mecânica e para a geometria do sistema, fez-se referência ao que consta da ETA-22/0806.</t>
  </si>
  <si>
    <t>3. RECHTE UND PFLICHTEN VON RB</t>
  </si>
  <si>
    <t>3. DERECHOS Y OBLIGACIONES DE RB</t>
  </si>
  <si>
    <t>3. DROITS ET OBLIGATIONS DE RB</t>
  </si>
  <si>
    <t>3. DIREITOS E OBRIGAÇÕES DA RB</t>
  </si>
  <si>
    <t>RB:
a) stellt dem Benutzer CALC kostenlos zur Verfügung, wie es ist;
b) bietet dem Benutzer keine technische Unterstützung für die Verwendung von CALC;
c) garantiert weder die Übereinstimmung der mit CALC durchgeführten Berechnungen mit den geltenden Vorschriften noch mit dem Projekt. Insbesondere könnte das Tabellenkalkulationsprogramm infolge einer Änderung der relevanten Bestimmungen, wie z. B. Normen, Zulassungen usw., seine Gültigkeit teilweise oder vollständig verlieren.
d) übernimmt, auch wenn das Unternehmen sich das Recht auf Aktualisierung, Korrektur und Entwicklung von CALC vorbehält, keinerlei Verpflichtung gegenüber dem Benutzer, das Tabellenkalkulationsprogramm zu prüfen, zu korrigieren, zu vervollständigen oder zu aktualisieren und/oder dieses mit den vorgenommenen Aktualisierungen auszustatten.</t>
  </si>
  <si>
    <t>RB:
a) pone el CALC a disposición del usuario gratuitamente, tal como está;
b) no proporciona al usuario asistencia técnica de ningún tipo para el uso de CALC;
c) no garantiza la conformidad de CALC con la normativa vigente ni con el proyecto de cálculos realizados con este. En concreto, tras modificar las disposiciones pertinentes, como, por ejemplo, normas, homologaciones, etc., la hoja de cálculo puede dejar de ser válida, parcial o completamente.
d) aunque se reserva el derecho de actualizar, revisar y desarrollar CALC, no asume ninguna obligación, ante el usuario, de comprobar, corregir, completar o actualizar la hoja de cálculo ni de poner a su disposición las actualizaciones realizadas.</t>
  </si>
  <si>
    <t>RB :
a) met gratuitement CALC à la disposition de l’Utilisateur, telle quelle est ;
b) ne fournit aucun support technique à l’utilisateur pour l’utilisation de CALC ;
c) ne garantit pas la conformité de CALC à la règlementation en vigueur ni à la conception des calculs effectués à travers celui-ci. En particulier, suite à la modification des dispositions relatives, comme les normes, homologations, etc. la feuille de calcul pourrait devenir entièrement ou partiellement non valide ;
d) tout en se réservant le droit de mettre à jour, revoir et développer CALC, ne prend aucune obligation envers l'utilisateur concernant la vérification, la correction, le complètement ou la mise à jour de la feuille de calcul et/ou la mise à disposition des mises à jour effectuées.</t>
  </si>
  <si>
    <t>RB:
a) coloca o CALC à disposição do Utilizador gratuitamente, tal como está;
b) não fornece ao utilizador qualquer suporte técnico para a utilização do CALC;
c) não garante a conformidade do CALC com a regulamentação em vigor ou a conceção dos cálculos efetuados pelo mesmo. Em particular, na sequência de alterações nas disposições aplicáveis, tais como normas, homologações, etc., a folha de cálculo pode ficar total ou parcialmente inválida.
d) embora se reserve o direito de atualizar, rever e desenvolver o CALC, não assume qualquer obrigação perante o utilizar de verificar, corrigir, completar ou atualizar a folha de cálculo e/ou disponibilizar ao utilizar as atualizações realizadas.</t>
  </si>
  <si>
    <t>4. RECHTE UND PFLICHTEN DES BENUTZERS</t>
  </si>
  <si>
    <t>4. DERECHOS Y OBLIGACIONES DEL USUARIO</t>
  </si>
  <si>
    <t>4. DROITS ET OBLIGATIONS DE L'UTILISATEUR</t>
  </si>
  <si>
    <t>4. DIREITOS E OBRIGAÇÕES DO UTILIZADOR</t>
  </si>
  <si>
    <t xml:space="preserve">Der Benutzer erklärt, das Tabellenkalkulationsprogramm in seiner Eigenschaft als Fachkraft zu verwenden und in keiner Weise als Verbraucher davon Gebrauch zu machen sowie stets die folgenden Pflichten und Verbote zu respektieren:
a) die Verpflichtung und Verantwortung zu überprüfen, dass CALC seinen spezifischen Bedürfnissen entspricht und mit seinen Hard- und Software-Systemen kompatibel ist;
b) die Verpflichtung, bei jeder Verwendung die Übereinstimmung der mit CALC durchgeführten Berechnungen mit den geltenden Vorschriften und dem Projekt zu überprüfen;
c) die Verpflichtung, die rechtliche Übereinstimmung der über die Software vorgenommenen Berechnungen zu überprüfen;
d) die Verpflichtung, die neueste Version von CALC zu verwenden, die vom Ansprechpartner RB zur Verfügung gestellt wurde, und bei jeder Verwendung auf etwaige Aktualisierungen zu kontrollieren;
e) das Verbot, CALC für Produkte zu verwenden, die nicht in jeder der Berechnungssektionen angegeben sind;
f) die Verpflichtung, aktualisierte Antivirensoftware zu verwenden, die den geltenden Industriestandards entspricht;
g) die Verpflichtung, die Nutzungslizenz von CALC nicht an Dritte zu übertragen und/oder auf andere Weise die Nutzungsrechte am Tabellenkalkulationsprogramm zu übertragen, zu verpfänden oder zu vermieten;
h) das Verbot, CALC in irgendeiner Weise zu verändern oder abzuwandeln.
Der Benutzer verpflichtet sich, den Ansprechpartner von RB um die neueste Version von CALC zu bitten. </t>
  </si>
  <si>
    <t xml:space="preserve">El Usuario declara que utilizará la hoja de cálculo como profesional, quedando excluido cualquier uso como consumidor, y que respetará siempre las siguientes obligaciones y prohibiciones:
a) la obligación y la responsabilidad de comprobar que CALC satisfaga sus necesidades específicas y sea compatible con su hardware, software y sistemas;
b) la obligación de comprobar, cada vez que lo use, la conformidad de los cálculos realizados mediante CALC con la normativa vigente y con el proyecto;
c) la obligación de comprobar la conformidad legal de los cálculos realizados mediante el software;
d) la obligación de usar la versión más actualizada de CALC puesta a disposición por la persona de contacto RB y de comprobar, cada vez que lo use, si hay actualizaciones;
e) la prohibición de usar XLS para productos no indicados en cada sección de cálculo;
f) la obligación de utilizar un software antivirus actualizado y que sea conforme con el estándar industrial actual;
g) la obligación de no ceder la licencia de uso de CALC a terceros ni, por otros medios, transferir, dar en garantía o arrendamiento, alquilar o compartir con otros o conceder en sublicencia los derechos de uso de la hoja de cálculo;
h) la prohibición de hacer copias de XLS o hacer que terceros lo hagan por él.
El usuario se compromete a solicitar a la persona de contacto de RB la última versión de CALC. </t>
  </si>
  <si>
    <t xml:space="preserve">L'utilisateur déclare utiliser la feuille de calcul en tant que professionnel et en excluant toute utilisation en tant que consommateur, et respecter systématiquement les obligations et interdictions suivantes :
a) l'obligation et la responsabilité de vérifier que CALC répond à ses besoins spécifiques et est compatible avec ses systèmes hardware et logiciels ; 
b) l'obligation de vérifier, à chaque utilisation, la conformité des calculs effectués à travers CALC à la réglementation en vigueur et à la conception ;
c) l'obligation de vérifier la conformité légale des calculs effectués au moyen du logiciel ;
d) l'obligation d'utiliser la dernière version de CALC mise à disposition par le contact de référence RB, en vérifiant les éventuelles mises à jour à chaque utilisation ;
e) l'interdiction d'utiliser CALC pour des produits non indiqués dans chaque section de calcul ;
f) l'obligation d'utiliser des logiciels antivirus mis à jour et conformes à la norme industrielle en vigueur ;
g) l'obligation de ne pas céder la licence d'utilisation de CALC à des tiers et/ou de transférer, mettre en gage ou en location, louer ou partager avec d'autres ou sous-licencier les droits d'utilisation de la feuille de calcul ;
h) l'interdiction de modifier ou de varier CALC de quelque manière que ce soit, même par l'intermédiaire de tiers.
L’utilisateur s’engage à demander au conseiller RB la dernière version de CALC. </t>
  </si>
  <si>
    <t xml:space="preserve">O Utilizador declara que utiliza a folha de cálculo como profissional, excluindo qualquer utilização como consumidor, e que respeita sempre as seguintes obrigações e proibições:
a) a obrigação e a responsabilidade de verificar se o CALC satisfaz as suas necessidades específicas e é compatível com os seus sistemas de hardware-software;
b) a obrigação de verificar, em cada utilização, a conformidade dos cálculos efetuados com o CALC com a regulamentação em vigor e o projeto;
c) a obrigação de verificar a conformidade legal dos cálculos efetuados através do Software;
d) A obrigação de utilizar a última versão do CALC disponibilizada pelo contacto de referência da RB, verificando as atualizações de cada vez que é utilizado;
e) a proibição de utilizar o CALC para produtos não indicados em cada secção de cálculo;
f) a obrigação de utilizar software antivírus atualizado que esteja em conformidade com as normas em vigor no setor;
g) a obrigação de não ceder a terceiros a licença de utilização do CALC e/ou de transferir, penhorar ou arrendar, alugar ou partilhar com outros ou sublicenciar os direitos de utilização da folha de cálculo;
h) a proibição de modificar ou alterar o CALC de qualquer forma, mesmo através de terceiros.
O utilizador compromete-se a solicitar à pessoa de contacto da RB a última versão do CALC. </t>
  </si>
  <si>
    <t>5. URHEBERRECHTE</t>
  </si>
  <si>
    <t>5. DERECHOS DE AUTOR</t>
  </si>
  <si>
    <t>5. DROITS D'AUTEUR</t>
  </si>
  <si>
    <t>5. DIREITOS DE AUTOR</t>
  </si>
  <si>
    <t>Die Urheberrechte auf die im Tabellenkalkulationsprogramm aufgeführten Formeln und alle ihnen zugrunde liegenden geistigen und gewerblichen Eigentumsrechte (beispielsweise und ohne Anspruch auf Vollständigkeit: Marken, Patente, Geschäftsgeheimnisse, Know-how, vertrauliche Informationen) sind und bleiben ausschließlicher Besitz von RB.
Dieser Vertrag erteilt dem Benutzer keines der hier o. g. Rechte.</t>
  </si>
  <si>
    <t>Los derechos de autor sobre las fórmulas de la hoja de cálculo y todos los derechos de propiedad intelectual e industrial que se aplican a aquellas (a título meramente de ejemplo y no exhaustivo: marcas, patentes, secretos comerciales, saber hacer, información confidencial) son y seguirán siendo propiedad exclusiva de RB.
Este acuerdo no otorga al usuario ninguno de los derechos indicados anteriormente.</t>
  </si>
  <si>
    <t>Les droits d'auteur sur les formules de la feuille de calcul et tous les droits de propriété intellectuelle et industrielle sous-jacents (par exemple, sans s'y limiter : marques, brevets, secrets industriels, savoir-faire, informations confidentielles) sont et restent la propriété exclusive de RB.
Le présent accord ne donne à l'utilisateur aucun des droits susmentionnés.</t>
  </si>
  <si>
    <t>Os direitos de autor sobre as formulações referidas na folha de cálculo e todos os direitos de propriedade intelectual e industrial que lhes estão subjacentes (tais como, a título de exemplo e não exaustivo: marcas, patentes, segredos comerciais, saber-fazer, informações confidenciais) são e continuam a ser propriedade exclusiva da RB.
O presente acordo não concede ao Utilizador nenhum dos direitos acima estabelecidos.</t>
  </si>
  <si>
    <t xml:space="preserve">6. LAUFZEIT, RÜCKTRITT UND AUFLÖSUNG </t>
  </si>
  <si>
    <t xml:space="preserve">6. DURACIÓN, RESCISIÓN Y TERMINACIÓN </t>
  </si>
  <si>
    <t xml:space="preserve">6. DURÉE, RETRAIT ET RÉSILIATION </t>
  </si>
  <si>
    <t xml:space="preserve">6. DURAÇÃO, DENÚNCIA E CESSAÇÃO </t>
  </si>
  <si>
    <t>Diese Allgemeinen Bedingungen und demzufolge die Nutzungslizenz des Tabellenkalkulationsprogramms gelten ab dem Zeitpunkt ihres Downloads bis zur Beendigung seiner Nutzung.
Der Benutzer kann zu jeder Zeit vom Vertrag zurücktreten, indem er CALC und alle etwaigen Kopien von seinen Systemen löscht.
RB kann im Falle eines Verstoßes gegen eine der die Nutzungslizenz regelnden Bestimmungen von diesem Vertrag zurücktreten und die Leistung deaktivieren. Für den Fall, dass RB den Rücktritt mitteilt, muss der Benutzer dafür sorgen, dass das Tabellenkalkulationsprogramm und etwaige Kopien von seinen Systemen gelöscht werden.</t>
  </si>
  <si>
    <t>Las presentes condiciones generales y, en consecuencia, la licencia de uso de la hoja de cálculo, son válidas desde el momento de su descarga hasta que termine su uso.
El usuario puede rescindir en cualquier momento este contrato eliminando CALC y cualquier copia de sus sistemas.
RB puede rescindir este Contrato y desactivar el servicio en caso de infracción de una cualquiera de las disposiciones que regulan la licencia de uso. En caso de que RB comunique la terminación, el usuario deberá eliminar la hoja de cálculo y cualquier copia de sus sistemas.</t>
  </si>
  <si>
    <t>Les présentes conditions générales et, par conséquent, la licence d'utilisation de la feuille de calcul, sont valables à partir du moment du téléchargement de celle-ci jusqu'à la fin de son utilisation.
L'utilisateur peut résilier à tout moment le présent Contrat en supprimant CALC et toutes les copies éventuelles de ses systèmes.
RB peut résilier à tout moment le présent Contrat et désactiver le service en cas d'infraction d'une des dispositions qui régissent la licence d'utilisation. En cas de communication de résiliation par RB, l'utilisateur devra supprimer la feuille de calcul et ses copies éventuelles de ses systèmes.</t>
  </si>
  <si>
    <t>As presentes Condições Gerais e, consequentemente, a licença de utilização da folha de cálculo, são válidas desde o momento de download do mesmo até à cessação da sua utilização.
O Utilizador pode rescindir o presente Contrato a qualquer momento, eliminando o CALC e todas as cópias dos seus sistemas.
A RB pode rescindir o presente Contrato e desativar o serviço em caso de violação de qualquer uma das disposições que regem a licença de utilização. Caso a RB comunique a cessação, o Utilizador deve eliminar a folha de cálculo e eventuais cópias da mesma dos seus sistemas.</t>
  </si>
  <si>
    <t>7. VERANTWORTUNG</t>
  </si>
  <si>
    <t>7. RESPONSABILIDAD</t>
  </si>
  <si>
    <t>7. RESPONSABILITÉ</t>
  </si>
  <si>
    <t>7. RESPONSABILIDADE</t>
  </si>
  <si>
    <t>Der Benutzer ist der alleinige Verantwortliche für die Verwendung von CALC, einschließlich, aber nicht beschränkt auf alle Berechnungen, die Tabellen, die Daten aus Exporten, die hiermit vorgenommen wurden und/oder für die Fehler bei der Eingabe, für den Schutz der Datendateien sowie für die Instandhaltung und im Allgemeinen für jede erfolgte Verwendung des Tabellenkalkulationsprogramms.
RB garantiert nicht für bzw. kann in keinem Fall haftbar gemacht werden für Schäden, Verluste und Kosten oder sonstige Auswirkungen aus einem beliebigen Grund (Gewährleistung bei Mängeln, Gewährleistung bei Fehlfunktionen, gesetzliche oder Produkthaftung usw.), die sich ergeben aus:
•   der Verwendung von CALC, den durchgeführten Berechnungen, der Übereinstimmung mit geltenden Vorschriften, dem Projekt oder anderen Anforderungen des Benutzers;
•   der Hardware- und Softwarekompatibilität, Viren, Fehlfunktionen, Mängeln, Fehlern oder Lücken;
•   der nicht erfolgten Aktualisierung des Tabellenkalkulationsprogramms und/oder der Unterbrechung der Bereitstellung des Tabellenkalkulationsprogramms und/oder Beendigung des Vertrags aus einem beliebigen Grund;
•   der Verletzung von Rechten an geistigem Eigentum Dritter.
Der Benutzer bestätigt, die Haftungsausschlüsse sowie die Haftungs- und Beschwerdebeschränkungen verstanden und akzeptiert zu haben. 
Der Benutzer bestätigt weiterhin, dass das Tabellenkalkulationsprogramm kostenlos verfügbar ist, dass die Ausschlüsse und Beschränkungen grundlegende Elemente dieses Vertrags sind und dass RB sein Tabellenkalkulationsprogramm dem Benutzer nicht zur Verfügung stellt, sollten die Ausschlüsse oder Beschränkungen zugunsten des Benutzers beseitigt oder geändert werden.</t>
  </si>
  <si>
    <t>El usuario es el único responsable del uso de CALC, incluidos, entre otros, todos los cálculos, los listados y los datos exportados realizados con él; también es el único responsable de los errores de introducción, de la protección de los archivos de datos y del mantenimiento y, en general, de cualquier uso que haga de la hoja de cálculo.
RB no ofrece ninguna garantía y en ningún caso podrá ser considerada responsable por daños, pérdidas y costes u otras consecuencias, bajo ningún concepto (garantía por vicios, garantía por mal funcionamiento, responsabilidad del producto o legal, etc.), ocasionados por:
•   uso de CALC, cálculos realizados, conformidad con la normativa vigente, con el proyecto u otras exigencias del Usuario;
•   compatibilidad del hardware y software, virus, mal funcionamiento, defectos, errores o lagunas;
•   falta de actualización de la hoja de cálculo o interrupción de la disponibilidad de la hoja de cálculo o terminación del contrato por cualquier motivo;
•   infracción de derechos de propiedad intelectual de terceros.
El usuario confirma que ha comprendido y acepta las exclusiones de responsabilidad y las limitaciones de responsabilidad y reclamación de este Contrato. 
El usuario también confirma que la hoja de cálculo está disponible gratuitamente, que las exclusiones y limitaciones son elementos fundamentales de este Contrato y que RB no pone su hoja de cálculo a disposición del usuario si las exclusiones o limitaciones se eliminan o modifican a favor del usuario en cuestión.</t>
  </si>
  <si>
    <t>L'utilisateur est le seul responsable de l'utilisation de CALC y compris, sans s'y limiter, de l'ensemble des calculs, des rapports, des données d'exportation réalisées avec celui-ci et/ou des erreurs de saisie, de la protection des fichiers de données et de la conservation et en général de toute utilisation de la feuille de calcul.
RB ne garantit pas et ne pourra en aucun cas être considéré responsable de dommages, pertes et frais ou d'autres conséquences, à quelque titre que ce soit (garantie en cas de défauts, garantie en cas de dysfonctionnement, responsabilité des produits ou responsabilité légale, etc.) dérivant de :
•   l'utilisation de CALC, des calculs effectués, de la conformité aux réglementations en vigueur, au projet ou autres exigences de l'utilisateur ;
•   la compatibilité du hardware et logiciel, virus, dysfonctionnements, défauts, erreurs ou lacunes ;
•   l'absence de mise à jour de la feuille de calcul et/ou interruption de la mise à disposition de la feuille de calcul et/ou résiliation du contrat pour quelque raison que ce soit ;
•   la violation des droits de propriété intellectuelle de tiers.
L'utilisateur confirme qu'il a compris et qu'il accepte les exclusions de responsabilité et les limitations de responsabilité et de réclamation du présent Contrat. 
L'utilisateur confirme également que la feuille de calcul est disponible gratuitement, que les exclusions et les limitations sont des éléments fondamentaux du présent Contrat et que RB ne fournit pas sa feuille de calcul à l'utilisateur si les exclusions ou les limitations sont supprimées ou modifiées en faveur de l'utilisateur.</t>
  </si>
  <si>
    <t>O Utilizador é o único responsável pela utilização do CALC, incluindo, mas não limitado a, todos os cálculos, impressões, dados de exportações realizados através do mesmo e/ou por erros de introdução, segurança de ficheiros de dados e manutenção e, em geral, por qualquer utilização da folha de cálculo.
A RB não garante e não será, em caso algum, responsável por danos, perdas e custos ou outras consequências, seja a que título for (garantia contra defeitos, garantia em caso de mau funcionamento, responsabilidade pelo produto ou responsabilidade legal, etc.), resultantes de:
•   utilização do CALC, cálculos efetuados, cumprimento da regulamentação aplicável, do projeto ou de outras necessidades do Utilizador;
•   compatibilidade de hardware e software, vírus, avarias, defeitos, erros ou deficiências;
•   não atualização da folha de cálculo e/ou interrupção da disponibilização da folha de cálculo e/ou rescisão do contrato por qualquer motivo;
•   violação dos direitos de propriedade intelectual de terceiros.
O Utilizador declara que compreende e aceita as exclusões de responsabilidade e limitações de responsabilidade e reclamação do presente Contrato. 
O Utilizador declara igualmente que a folha de cálculo está disponível gratuitamente, que as exclusões e limitações são elementos fundamentais do presente Contrato e que a RB não disponibilizará a sua folha de cálculo ao Utilizador caso as exclusões ou limitações sejam eliminadas ou alteradas a favor deste último.</t>
  </si>
  <si>
    <t>8. RÜCKERSTATTUNG</t>
  </si>
  <si>
    <t>8. REEMBOLSO</t>
  </si>
  <si>
    <t>8. REMBOURSEMENT</t>
  </si>
  <si>
    <t>Der Benutzer akzeptiert, RB, dessen Niederlassungen sowie dessen und deren Führungskräfte, Direktoren, Angestellte, Nachfolger und Beauftragte (jeder von diesen einzeln „Begünstigter“, gemeinsam die „Begünstigten“) für Kosten schadlos zu halten und zu entschädigen, die im Zusammenhang mit von Dritten vorgebrachten Ansprüchen für Schäden oder Verluste entstehen, welche sich aus der Nutzung des Tabellenkalkulationsprogramms seitens des Benutzers (einschließlich, aber nicht beschränkt auf von RB getragene Honorare und Verwaltungskosten) ergeben.</t>
  </si>
  <si>
    <t>El usuario acepta eximir de toda responsabilidad e indemnizar a RB, sus sociedades afiliadas y sus funcionarios, directores, empleados, sucesores, y encargados (cada uno individualmente, "Beneficiario", colectivamente, "Beneficiarios") por los costes sufragados en relación con las reclamaciones presentadas por terceros por daños o pérdidas ocasionados por el uso de la hoja de cálculo por parte del usuario (incluidos, entre otros, honorarios y gastos de gestión sufragados por RB).</t>
  </si>
  <si>
    <t>L'utilisateur accepte d'indemniser et de dégager de toute responsabilité RB, ses sociétés affiliées et son ou ses dirigeants, directeurs, employés, successeurs et mandataires (chacun individuellement, le « Bénéficiaire », collectivement, les « Bénéficiaires ») pour les coûts engagés relativement aux réclamations faites par des tiers pour des dommages ou pertes découlant de l'utilisation de la feuille de calcul par l'utilisateur (incluant, sans s'y limiter, les honoraires et frais de gestion engagés par RB).</t>
  </si>
  <si>
    <t>O Utilizador aceita eximir e isentar a RB, respetivas filiais e executivo(s), diretores, empregados, sucessores e agentes (cada um individualmente, “Beneficiário”, coletivamente, os “Beneficiários”) por custos incorridos em relação a reclamações de terceiros, por danos ou perdas decorrentes da utilização da folha de cálculo pelo Utilizador (incluindo, mas não limitado a, honorários e despesas de gestão suportadas pela RB).</t>
  </si>
  <si>
    <t>9. SONSTIGE</t>
  </si>
  <si>
    <t>9. DISPOSICIONES VARIAS</t>
  </si>
  <si>
    <t>9. DIVERS</t>
  </si>
  <si>
    <t>9. DIVERSOS</t>
  </si>
  <si>
    <t>Diese Allgemeinen Bedingungen bilden die vollständigen Vereinbarungen zwischen RB und dem Benutzer in Bezug auf die Angelegenheit und ersetzen alle vorherigen Vereinbarungen, ob mündlich oder schriftlich, sowie etwaige Absprachen zwischen RB und dem Benutzer.</t>
  </si>
  <si>
    <t>Estas condiciones generales constituyen el acuerdo completo entre RB y el usuario por lo que respecta al asunto en cuestión y sustituyen todos los acuerdos anteriores, tanto orales como escritos, así como cualquier acuerdo entre RB y el usuario.</t>
  </si>
  <si>
    <t>Les présentes conditions générales constituent l'ensemble de l'accord entre RB et l'utilisateur en la matière et remplacent tous les accords précédents, oraux ou écrits, ainsi que les éventuels arrangements entre RB et l'utilisateur.</t>
  </si>
  <si>
    <t>As presentes Condições Gerais constituem o acordo integral entre a RB e o Utilizador em relação ao assunto em questão e substituem todos os acordos anteriores, sejam orais ou escritos, bem como quaisquer acordos entre a RB e o Utilizador.</t>
  </si>
  <si>
    <t>10. SPRACHE</t>
  </si>
  <si>
    <t>10. IDIOMA</t>
  </si>
  <si>
    <t>10. LANGUE</t>
  </si>
  <si>
    <t>Im Falle von Unstimmigkeiten zwischen den Versionen dieser Bedingungen in den verschiedenen Sprachen gilt der italienische Wortlaut als bindend und als im Verhältnis zu den Übersetzungen vorrangig.</t>
  </si>
  <si>
    <t>En caso de diferencias entre las versiones de estas condiciones en los distintos idiomas, el texto italiano es vinculante y prevalece con respecto a las traducciones.</t>
  </si>
  <si>
    <t>En cas de divergence entre les versions des présentes conditions dans les différentes langues, le texte italien fait foi et prévaut sur les traductions.</t>
  </si>
  <si>
    <t>Em caso de divergências entre as versões das presentes Condições nas diferentes línguas, o texto italiano é vinculativo e prevalece sobre as traduções.</t>
  </si>
  <si>
    <t>11. GELTENDES RECHT UND GERICHTSSTAND</t>
  </si>
  <si>
    <t>11. DERECHO APLICABLE Y TRIBUNAL COMPETENTE</t>
  </si>
  <si>
    <t>11. DROIT APPLICABLE ET TRIBUNAL COMPÉTENT</t>
  </si>
  <si>
    <t>11. LEGISLAÇÃO APLICÁVEL E FORO COMPETENTE</t>
  </si>
  <si>
    <t>Diese Vereinbarung sowie jede Beziehung zwischen den Parteien wird ausschließlich durch das italienische Recht geregelt.
Für alle Streitigkeiten, die zwischen den Parteien in Bezug auf diese Vereinbarung auftreten könnten und die diese nicht in der Lage sind, im gegenseitigen Einvernehmen beizulegen, ist ausschließlich das Gericht Bozen zuständig.</t>
  </si>
  <si>
    <t>Este acuerdo y cualquier relación entre las partes se rigen exclusivamente por el derecho italiano.
Cualquier controversia que surja entre las partes en relación con este acuerdo, que estas no sean capaces de resolver amigablemente, será competencia exclusiva de los tribunales de Bolzano.</t>
  </si>
  <si>
    <t>Le présent accord et tout accord entre les parties est régi exclusivement par la loi italienne.
Tout litige éventuel entre les parties concernant le présent accord qu'elles ne réussissent pas à résoudre à l'amiable relèvera de la compétence exclusive du tribunal de Bolzano.</t>
  </si>
  <si>
    <t>O presente acordo e qualquer relação entre as partes é regida exclusivamente pelo direito italiano.
Qualquer litígio que possa surgir entre as partes em relação ao presente acordo, que não possam resolver amigavelmente, será da competência exclusiva do Tribunal de Bolzano.</t>
  </si>
  <si>
    <t>12. DATENSCHUTZ</t>
  </si>
  <si>
    <t>12. PRIVACIDAD</t>
  </si>
  <si>
    <t>12. CONFIDENTIALITÉ</t>
  </si>
  <si>
    <t>12. PRIVACIDADE</t>
  </si>
  <si>
    <t>Siehe hierzu die Datenschutzerklärung unter dem Link:</t>
  </si>
  <si>
    <t>Véase la política de privacidad disponible en el enlace:</t>
  </si>
  <si>
    <t>Veuillez vous référer à la politique de confidentialité disponible au lien :</t>
  </si>
  <si>
    <t>Consulte a política de privacidade disponível no link:</t>
  </si>
  <si>
    <t>ICH AKZEPTIERE</t>
  </si>
  <si>
    <t>ACEPTADA</t>
  </si>
  <si>
    <t>J’ACCEPTE</t>
  </si>
  <si>
    <t>ACEITE</t>
  </si>
  <si>
    <t>(*) Bei Aggregatgrößen von mehr als 15 mm die Bedingungen für den Betonguss bewerten</t>
  </si>
  <si>
    <t>(*) Para diámetros de los áridos superiores a 15 mm, evaluar las condiciones de vertido del hormigón</t>
  </si>
  <si>
    <t>(*) pour les agrégats de taille supérieure à 15 mm, évaluer les conditions de coulage du béton</t>
  </si>
  <si>
    <t>(*) para agregados de dimensão superior a 15 mm, avaliar as condições de colocação do jato de betão</t>
  </si>
  <si>
    <t>(*) Bei nicht symmetrischer Verbindung mit einer einzelnen Verbindungsebene die Steifigkeit verdoppeln</t>
  </si>
  <si>
    <t>(*) Duplicar la rigidez en caso de conexión no simétrica con un solo plano de conexión</t>
  </si>
  <si>
    <t>(*) doubler la rigidité dans le cas d'un assemblage non symétrique avec un seul plan de connexion</t>
  </si>
  <si>
    <t>(*) duplicar a rigidez no caso de ligação não simétrica com um único plano de ligação</t>
  </si>
  <si>
    <t>Min. geforderte Betondeckung</t>
  </si>
  <si>
    <t>Recubrimiento mínimo requerido</t>
  </si>
  <si>
    <t>Enrobage minimum requis</t>
  </si>
  <si>
    <t>Tapa-ferro mínimo requerido</t>
  </si>
  <si>
    <t>Holz</t>
  </si>
  <si>
    <t>Madera</t>
  </si>
  <si>
    <t>Bois</t>
  </si>
  <si>
    <t>Madeira</t>
  </si>
  <si>
    <t>Beiwert</t>
  </si>
  <si>
    <t>Coeficiente</t>
  </si>
  <si>
    <t>EC 1995-1-1:2014</t>
  </si>
  <si>
    <t>EC 1992-1-1:2015</t>
  </si>
  <si>
    <t>ETA-22/0806 (2023/05)</t>
  </si>
  <si>
    <t>Wirksame Anzahl in axialer Richtung (nicht erforderlich)</t>
  </si>
  <si>
    <t>Wirksame Anzahl in Richtung Querkraft (nicht erforderlich)</t>
  </si>
  <si>
    <t>Untere Fasern unter Zugspannung</t>
  </si>
  <si>
    <t>+ untere Fasern unter Zugspannung</t>
  </si>
  <si>
    <t>- obere Fasern unter Zugspannung</t>
  </si>
  <si>
    <t>Schraubentyp</t>
  </si>
  <si>
    <t>Schalung (Y/N)</t>
  </si>
  <si>
    <t>Min. Länge Verankerung (Beton)</t>
  </si>
  <si>
    <t>Min. Länge Überlappung (Beton)</t>
  </si>
  <si>
    <t>Min. Penetrationslänge (Holz)</t>
  </si>
  <si>
    <t>Korndurchmesser (*)</t>
  </si>
  <si>
    <t>Min. Betondeckung Längsbewehrung</t>
  </si>
  <si>
    <t>Wirksame Breite Betonbalken</t>
  </si>
  <si>
    <t>Abstand zur tatsächlichen Kante der Schrauben</t>
  </si>
  <si>
    <t>Überprüfung der Kohärenz Position Schrauben/Bewehrung</t>
  </si>
  <si>
    <t>(*) Es wird angenommen, dass die Schraube im Betonbalken bis zum gegenüberliegenden Betonstahl hineinreicht</t>
  </si>
  <si>
    <t>Drehfedersteifigkeit (*)</t>
  </si>
  <si>
    <t xml:space="preserve">Gedrückter Bereich erste Lamelle </t>
  </si>
  <si>
    <t xml:space="preserve">Gedrückter Bereich zweite Lamelle </t>
  </si>
  <si>
    <t xml:space="preserve">Gedrückter Bereich dritte Lamelle </t>
  </si>
  <si>
    <t>Hebelsarm</t>
  </si>
  <si>
    <t>Max. Kraft auf alle Schrauben</t>
  </si>
  <si>
    <t>Max. Kraft auf einzelne Schraube (*)</t>
  </si>
  <si>
    <t>Max. Kraft Schrauben in Ebene auf einzelne obere Schraube</t>
  </si>
  <si>
    <t>Max. Kraft Schrauben in Ebene auf einzelne untere Schraube</t>
  </si>
  <si>
    <t>Max. Kraft Schrauben außerhalb Ebene auf einzelne obere Schraube</t>
  </si>
  <si>
    <t>Max. Kraft Schrauben außerhalb Ebene auf einzelne untere Schraube</t>
  </si>
  <si>
    <t>Kombinierte Kraft auf einzelne obere Schraube</t>
  </si>
  <si>
    <t>Kombinierte Kraft auf einzelne untere Schraube</t>
  </si>
  <si>
    <t>(*) Es wird angenommen, dass die Zugkraft nur von den Schrauben an der unteren Linie aufgenommen wird</t>
  </si>
  <si>
    <t>Obere Fasern unter Zugspannung</t>
  </si>
  <si>
    <t>Min. Länge Überlappung</t>
  </si>
  <si>
    <t>Länge des Bereiches unter Druckspannung Berechnung für Steifigkeit</t>
  </si>
  <si>
    <t>Schrauben im Bereich unter Zugspannung</t>
  </si>
  <si>
    <t>Verformung gedrückter Bereich</t>
  </si>
  <si>
    <t>Abstand Linie untere Schrauben von der CLT-Kante</t>
  </si>
  <si>
    <t>Schalung</t>
  </si>
  <si>
    <r>
      <rPr>
        <sz val="12"/>
        <color theme="1"/>
        <rFont val="Verdana"/>
        <family val="2"/>
      </rPr>
      <t>n</t>
    </r>
    <r>
      <rPr>
        <sz val="9"/>
        <color theme="1"/>
        <rFont val="Verdana"/>
        <family val="2"/>
      </rPr>
      <t>yd</t>
    </r>
  </si>
  <si>
    <r>
      <rPr>
        <sz val="12"/>
        <color theme="1"/>
        <rFont val="Verdana"/>
        <family val="2"/>
      </rPr>
      <t>v</t>
    </r>
    <r>
      <rPr>
        <sz val="9"/>
        <color theme="1"/>
        <rFont val="Verdana"/>
        <family val="2"/>
      </rPr>
      <t>xd</t>
    </r>
  </si>
  <si>
    <r>
      <rPr>
        <sz val="12"/>
        <color theme="1"/>
        <rFont val="Verdana"/>
        <family val="2"/>
      </rPr>
      <t>v</t>
    </r>
    <r>
      <rPr>
        <sz val="9"/>
        <color theme="1"/>
        <rFont val="Verdana"/>
        <family val="2"/>
      </rPr>
      <t>zd</t>
    </r>
  </si>
  <si>
    <r>
      <rPr>
        <sz val="12"/>
        <color theme="1"/>
        <rFont val="Verdana"/>
        <family val="2"/>
      </rPr>
      <t>m</t>
    </r>
    <r>
      <rPr>
        <sz val="9"/>
        <color theme="1"/>
        <rFont val="Verdana"/>
        <family val="2"/>
      </rPr>
      <t>xd</t>
    </r>
  </si>
  <si>
    <r>
      <rPr>
        <sz val="12"/>
        <color theme="1"/>
        <rFont val="Verdana"/>
        <family val="2"/>
      </rPr>
      <t>m</t>
    </r>
    <r>
      <rPr>
        <sz val="9"/>
        <color theme="1"/>
        <rFont val="Verdana"/>
        <family val="2"/>
      </rPr>
      <t>xyd</t>
    </r>
  </si>
  <si>
    <t>Taglio perpendicolare alla connessione, direzione-x</t>
  </si>
  <si>
    <t>Azione assiale parallella alla connessione</t>
  </si>
  <si>
    <t>Momento flettente parallelo alla connessione</t>
  </si>
  <si>
    <t>(flessione cordolo in calcestruzzo)</t>
  </si>
  <si>
    <t>(concrete beam bending)</t>
  </si>
  <si>
    <t>(Biegung von Betonbalken)</t>
  </si>
  <si>
    <t>(flexión de vigas de hormigón)</t>
  </si>
  <si>
    <t>(flexion d'une poutre en béton)</t>
  </si>
  <si>
    <t>(flexão de vigas de betão)</t>
  </si>
  <si>
    <t>Momento perpendicolare alla connessione, piano-xz</t>
  </si>
  <si>
    <t>Ação axial paralela à ligação</t>
  </si>
  <si>
    <t>Action axiale parallèle à la connexion</t>
  </si>
  <si>
    <t>Acción axial paralela a la conexión</t>
  </si>
  <si>
    <t>Axial force parallel to the connection</t>
  </si>
  <si>
    <t>Shear perpendicular to the connection, x-direction</t>
  </si>
  <si>
    <t>Corte perpendicular a la conexión, dirección-x</t>
  </si>
  <si>
    <t>Coupe perpendiculaire à la connexion, direction-x</t>
  </si>
  <si>
    <t>Corte perpendicular à ligação, direção-x</t>
  </si>
  <si>
    <t>Momento fletor paralelo à ligação</t>
  </si>
  <si>
    <t>Moment de flexion parallèle à la connexion</t>
  </si>
  <si>
    <t>Momento flector paralelo a la conexión</t>
  </si>
  <si>
    <t>Biegemoment parallel zur Verbindung</t>
  </si>
  <si>
    <t>Bending moment parallel to the connection</t>
  </si>
  <si>
    <t>Moment perpendicular to the connection, plane-xz</t>
  </si>
  <si>
    <t>Momento perpendicular a la conexión, plano-xz</t>
  </si>
  <si>
    <t>Momentum perpendiculaire à la connexion, plan-xz</t>
  </si>
  <si>
    <t>Momento perpendicular à ligação, plano-xz</t>
  </si>
  <si>
    <t>[kNmm/Rad/m]</t>
  </si>
  <si>
    <t>[Rad]</t>
  </si>
  <si>
    <t>Taglio perpendicolare alla connessione, direzione-z</t>
  </si>
  <si>
    <t>Shear perpendicular to the connection, z-direction</t>
  </si>
  <si>
    <t>Corte perpendicular a la conexión, dirección-z</t>
  </si>
  <si>
    <t>Coupe perpendiculaire à la connexion, direction-z</t>
  </si>
  <si>
    <t>Corte perpendicular à ligação, direção-z</t>
  </si>
  <si>
    <t>tc_fusion_calculator
v.1.10</t>
  </si>
  <si>
    <t>GENERAL TERMS AND CONDITIONS OF THE LICENSE AGREEMENT FOR THE USE OF THE SPREADSHEET "TC_FUSION_CALCULATOR"</t>
  </si>
  <si>
    <t>Normalkraft senkrecht zum Anschluss</t>
  </si>
  <si>
    <t>Moment senkrecht zur Verbindung, Ebene-xz</t>
  </si>
  <si>
    <t>Querkraft in x-Richtung</t>
  </si>
  <si>
    <t>Querkraft in z-Richtung</t>
  </si>
  <si>
    <t>tc_fusion_calculator v.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</si>
</sst>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0000"/>
  </numFmts>
  <fonts count="40">
    <font>
      <sz val="10"/>
      <color theme="1"/>
      <name val="Verdana"/>
      <family val="2"/>
    </font>
    <font>
      <sz val="10"/>
      <color theme="1"/>
      <name val="Symbol"/>
      <family val="1"/>
      <charset val="2"/>
    </font>
    <font>
      <sz val="10"/>
      <color theme="1"/>
      <name val="Verdana"/>
      <family val="1"/>
      <charset val="2"/>
    </font>
    <font>
      <sz val="8"/>
      <name val="Verdana"/>
      <family val="2"/>
    </font>
    <font>
      <sz val="9"/>
      <color indexed="81"/>
      <name val="Tahoma"/>
      <family val="2"/>
    </font>
    <font>
      <b/>
      <sz val="9"/>
      <color indexed="81"/>
      <name val="Tahoma"/>
      <family val="2"/>
    </font>
    <font>
      <sz val="10"/>
      <color theme="2"/>
      <name val="Verdana"/>
      <family val="2"/>
    </font>
    <font>
      <sz val="10"/>
      <color rgb="FF0070C0"/>
      <name val="Verdana"/>
      <family val="2"/>
    </font>
    <font>
      <sz val="10"/>
      <color rgb="FFFF0000"/>
      <name val="Verdana"/>
      <family val="2"/>
    </font>
    <font>
      <strike/>
      <sz val="10"/>
      <color theme="1"/>
      <name val="Verdana"/>
      <family val="2"/>
    </font>
    <font>
      <b/>
      <sz val="10"/>
      <color rgb="FF00B050"/>
      <name val="Verdana"/>
      <family val="2"/>
    </font>
    <font>
      <b/>
      <sz val="10"/>
      <color rgb="FF0070C0"/>
      <name val="Verdana"/>
      <family val="2"/>
    </font>
    <font>
      <b/>
      <sz val="10"/>
      <color theme="7" tint="-0.249977111117893"/>
      <name val="Verdana"/>
      <family val="2"/>
    </font>
    <font>
      <sz val="10"/>
      <color rgb="FF00B050"/>
      <name val="Verdana"/>
      <family val="2"/>
    </font>
    <font>
      <b/>
      <sz val="10"/>
      <color theme="1"/>
      <name val="Verdana"/>
      <family val="2"/>
    </font>
    <font>
      <b/>
      <sz val="10"/>
      <color rgb="FFFF0000"/>
      <name val="Verdana"/>
      <family val="2"/>
    </font>
    <font>
      <vertAlign val="superscript"/>
      <sz val="10"/>
      <color theme="1"/>
      <name val="Verdana"/>
      <family val="2"/>
    </font>
    <font>
      <vertAlign val="subscript"/>
      <sz val="10"/>
      <color theme="1"/>
      <name val="Verdana"/>
      <family val="2"/>
    </font>
    <font>
      <sz val="10"/>
      <color theme="6" tint="0.39997558519241921"/>
      <name val="Verdana"/>
      <family val="2"/>
    </font>
    <font>
      <sz val="10"/>
      <color theme="0" tint="-0.249977111117893"/>
      <name val="Verdana"/>
      <family val="2"/>
    </font>
    <font>
      <strike/>
      <sz val="10"/>
      <color theme="2"/>
      <name val="Verdana"/>
      <family val="2"/>
    </font>
    <font>
      <b/>
      <sz val="10"/>
      <color theme="1"/>
      <name val="Symbol"/>
      <family val="1"/>
      <charset val="2"/>
    </font>
    <font>
      <sz val="10"/>
      <name val="Verdana"/>
      <family val="2"/>
    </font>
    <font>
      <sz val="10"/>
      <color theme="0" tint="-0.34998626667073579"/>
      <name val="Verdana"/>
      <family val="2"/>
    </font>
    <font>
      <sz val="10"/>
      <color theme="0" tint="-0.14999847407452621"/>
      <name val="Verdana"/>
      <family val="2"/>
    </font>
    <font>
      <b/>
      <sz val="14"/>
      <color theme="1"/>
      <name val="Verdana"/>
      <family val="2"/>
    </font>
    <font>
      <sz val="9"/>
      <color theme="1"/>
      <name val="Verdana"/>
      <family val="2"/>
    </font>
    <font>
      <b/>
      <sz val="10"/>
      <color theme="1"/>
      <name val="Verdana"/>
      <family val="1"/>
      <charset val="2"/>
    </font>
    <font>
      <b/>
      <sz val="10"/>
      <name val="Verdana"/>
      <family val="2"/>
    </font>
    <font>
      <i/>
      <sz val="10"/>
      <color theme="1"/>
      <name val="Verdana"/>
      <family val="2"/>
    </font>
    <font>
      <b/>
      <sz val="10"/>
      <color theme="0"/>
      <name val="Verdana"/>
      <family val="2"/>
    </font>
    <font>
      <sz val="10"/>
      <color theme="0"/>
      <name val="Verdana"/>
      <family val="2"/>
    </font>
    <font>
      <b/>
      <sz val="11"/>
      <color theme="1"/>
      <name val="Verdana"/>
      <family val="2"/>
    </font>
    <font>
      <b/>
      <sz val="13"/>
      <color theme="0"/>
      <name val="Verdana"/>
      <family val="2"/>
    </font>
    <font>
      <b/>
      <sz val="14"/>
      <color theme="0"/>
      <name val="Verdana"/>
      <family val="2"/>
    </font>
    <font>
      <b/>
      <u/>
      <sz val="14"/>
      <color theme="0"/>
      <name val="Verdana"/>
      <family val="2"/>
    </font>
    <font>
      <u/>
      <sz val="10"/>
      <color theme="10"/>
      <name val="Verdana"/>
      <family val="2"/>
    </font>
    <font>
      <b/>
      <sz val="12"/>
      <color theme="1"/>
      <name val="Verdana"/>
      <family val="2"/>
    </font>
    <font>
      <sz val="8"/>
      <color theme="1"/>
      <name val="Verdana"/>
      <family val="2"/>
    </font>
    <font>
      <sz val="12"/>
      <color theme="1"/>
      <name val="Verdana"/>
      <family val="2"/>
    </font>
  </fonts>
  <fills count="13">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rgb="FFC00000"/>
        <bgColor indexed="64"/>
      </patternFill>
    </fill>
    <fill>
      <patternFill patternType="solid">
        <fgColor theme="1"/>
        <bgColor indexed="64"/>
      </patternFill>
    </fill>
    <fill>
      <patternFill patternType="solid">
        <fgColor theme="5" tint="0.39997558519241921"/>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theme="9" tint="0.59999389629810485"/>
      </left>
      <right/>
      <top style="dotted">
        <color theme="9" tint="0.59999389629810485"/>
      </top>
      <bottom/>
      <diagonal/>
    </border>
    <border>
      <left/>
      <right/>
      <top style="dotted">
        <color theme="9" tint="0.59999389629810485"/>
      </top>
      <bottom/>
      <diagonal/>
    </border>
    <border>
      <left/>
      <right style="dotted">
        <color theme="9" tint="0.59999389629810485"/>
      </right>
      <top style="dotted">
        <color theme="9" tint="0.59999389629810485"/>
      </top>
      <bottom/>
      <diagonal/>
    </border>
    <border>
      <left style="dotted">
        <color theme="9" tint="0.59999389629810485"/>
      </left>
      <right/>
      <top/>
      <bottom/>
      <diagonal/>
    </border>
    <border>
      <left/>
      <right style="dotted">
        <color theme="9" tint="0.59999389629810485"/>
      </right>
      <top/>
      <bottom/>
      <diagonal/>
    </border>
    <border>
      <left style="dotted">
        <color theme="9" tint="0.59999389629810485"/>
      </left>
      <right/>
      <top/>
      <bottom style="dotted">
        <color theme="9" tint="0.59999389629810485"/>
      </bottom>
      <diagonal/>
    </border>
    <border>
      <left/>
      <right/>
      <top/>
      <bottom style="dotted">
        <color theme="9" tint="0.59999389629810485"/>
      </bottom>
      <diagonal/>
    </border>
    <border>
      <left/>
      <right style="dotted">
        <color theme="9" tint="0.59999389629810485"/>
      </right>
      <top/>
      <bottom style="dotted">
        <color theme="9" tint="0.59999389629810485"/>
      </bottom>
      <diagonal/>
    </border>
    <border>
      <left/>
      <right/>
      <top/>
      <bottom style="dotted">
        <color theme="9" tint="0.59996337778862885"/>
      </bottom>
      <diagonal/>
    </border>
    <border>
      <left style="dotted">
        <color theme="9" tint="0.59996337778862885"/>
      </left>
      <right/>
      <top style="dotted">
        <color theme="9" tint="0.59996337778862885"/>
      </top>
      <bottom/>
      <diagonal/>
    </border>
    <border>
      <left/>
      <right/>
      <top style="dotted">
        <color theme="9" tint="0.59996337778862885"/>
      </top>
      <bottom/>
      <diagonal/>
    </border>
    <border>
      <left/>
      <right style="dotted">
        <color theme="9" tint="0.59996337778862885"/>
      </right>
      <top style="dotted">
        <color theme="9" tint="0.59996337778862885"/>
      </top>
      <bottom/>
      <diagonal/>
    </border>
    <border>
      <left style="dotted">
        <color theme="9" tint="0.59996337778862885"/>
      </left>
      <right/>
      <top/>
      <bottom/>
      <diagonal/>
    </border>
    <border>
      <left/>
      <right style="dotted">
        <color theme="9" tint="0.59996337778862885"/>
      </right>
      <top/>
      <bottom/>
      <diagonal/>
    </border>
    <border>
      <left style="dotted">
        <color theme="9" tint="0.59996337778862885"/>
      </left>
      <right/>
      <top/>
      <bottom style="dotted">
        <color theme="9" tint="0.59996337778862885"/>
      </bottom>
      <diagonal/>
    </border>
    <border>
      <left/>
      <right style="dotted">
        <color theme="9" tint="0.59996337778862885"/>
      </right>
      <top/>
      <bottom style="dotted">
        <color theme="9" tint="0.59996337778862885"/>
      </bottom>
      <diagonal/>
    </border>
    <border>
      <left style="dotted">
        <color theme="4" tint="-0.24994659260841701"/>
      </left>
      <right/>
      <top style="dotted">
        <color theme="4" tint="-0.24994659260841701"/>
      </top>
      <bottom style="dotted">
        <color theme="4" tint="-0.24994659260841701"/>
      </bottom>
      <diagonal/>
    </border>
    <border>
      <left/>
      <right/>
      <top style="dotted">
        <color theme="4" tint="-0.24994659260841701"/>
      </top>
      <bottom style="dotted">
        <color theme="4" tint="-0.24994659260841701"/>
      </bottom>
      <diagonal/>
    </border>
    <border>
      <left/>
      <right style="thin">
        <color indexed="64"/>
      </right>
      <top style="dotted">
        <color theme="4" tint="-0.24994659260841701"/>
      </top>
      <bottom style="dotted">
        <color theme="4" tint="-0.24994659260841701"/>
      </bottom>
      <diagonal/>
    </border>
    <border>
      <left style="dotted">
        <color theme="4" tint="-0.24994659260841701"/>
      </left>
      <right/>
      <top style="dotted">
        <color theme="4" tint="-0.24994659260841701"/>
      </top>
      <bottom style="thin">
        <color indexed="64"/>
      </bottom>
      <diagonal/>
    </border>
    <border>
      <left/>
      <right/>
      <top style="dotted">
        <color theme="4" tint="-0.24994659260841701"/>
      </top>
      <bottom style="thin">
        <color indexed="64"/>
      </bottom>
      <diagonal/>
    </border>
    <border>
      <left/>
      <right style="thin">
        <color indexed="64"/>
      </right>
      <top style="dotted">
        <color theme="4" tint="-0.24994659260841701"/>
      </top>
      <bottom style="thin">
        <color indexed="64"/>
      </bottom>
      <diagonal/>
    </border>
    <border>
      <left style="dotted">
        <color theme="4" tint="-0.24994659260841701"/>
      </left>
      <right style="thin">
        <color indexed="64"/>
      </right>
      <top style="thin">
        <color indexed="64"/>
      </top>
      <bottom style="dotted">
        <color theme="4" tint="-0.24994659260841701"/>
      </bottom>
      <diagonal/>
    </border>
    <border>
      <left style="dotted">
        <color theme="4" tint="-0.24994659260841701"/>
      </left>
      <right style="dotted">
        <color theme="4" tint="-0.24994659260841701"/>
      </right>
      <top style="dotted">
        <color theme="4" tint="-0.24994659260841701"/>
      </top>
      <bottom style="dotted">
        <color theme="4" tint="-0.24994659260841701"/>
      </bottom>
      <diagonal/>
    </border>
    <border>
      <left style="dotted">
        <color theme="4" tint="-0.24994659260841701"/>
      </left>
      <right style="dotted">
        <color theme="4" tint="-0.24994659260841701"/>
      </right>
      <top style="dotted">
        <color theme="4" tint="-0.24994659260841701"/>
      </top>
      <bottom style="thin">
        <color indexed="64"/>
      </bottom>
      <diagonal/>
    </border>
    <border>
      <left style="dotted">
        <color theme="4" tint="-0.24994659260841701"/>
      </left>
      <right style="dotted">
        <color theme="4" tint="-0.24994659260841701"/>
      </right>
      <top style="thin">
        <color indexed="64"/>
      </top>
      <bottom style="dotted">
        <color theme="4" tint="-0.24994659260841701"/>
      </bottom>
      <diagonal/>
    </border>
    <border>
      <left/>
      <right style="dotted">
        <color theme="4" tint="-0.24994659260841701"/>
      </right>
      <top style="dotted">
        <color theme="4" tint="-0.24994659260841701"/>
      </top>
      <bottom style="dotted">
        <color theme="4" tint="-0.24994659260841701"/>
      </bottom>
      <diagonal/>
    </border>
    <border>
      <left/>
      <right style="dotted">
        <color theme="9" tint="0.39985351115451523"/>
      </right>
      <top style="dotted">
        <color theme="9" tint="0.39985351115451523"/>
      </top>
      <bottom style="dotted">
        <color theme="9" tint="0.39985351115451523"/>
      </bottom>
      <diagonal/>
    </border>
    <border>
      <left style="dotted">
        <color theme="4" tint="-0.24994659260841701"/>
      </left>
      <right style="dotted">
        <color theme="4" tint="-0.24994659260841701"/>
      </right>
      <top style="dotted">
        <color theme="4" tint="-0.24994659260841701"/>
      </top>
      <bottom/>
      <diagonal/>
    </border>
    <border>
      <left style="dotted">
        <color theme="4" tint="-0.24994659260841701"/>
      </left>
      <right style="dotted">
        <color theme="4" tint="-0.24994659260841701"/>
      </right>
      <top/>
      <bottom style="dotted">
        <color theme="4" tint="-0.24994659260841701"/>
      </bottom>
      <diagonal/>
    </border>
    <border>
      <left style="dotted">
        <color theme="4" tint="-0.24994659260841701"/>
      </left>
      <right style="dotted">
        <color theme="4" tint="-0.24994659260841701"/>
      </right>
      <top/>
      <bottom style="thin">
        <color indexed="64"/>
      </bottom>
      <diagonal/>
    </border>
  </borders>
  <cellStyleXfs count="2">
    <xf numFmtId="0" fontId="0" fillId="0" borderId="0"/>
    <xf numFmtId="0" fontId="36" fillId="0" borderId="0" applyNumberFormat="0" applyFill="0" applyBorder="0" applyAlignment="0" applyProtection="0"/>
  </cellStyleXfs>
  <cellXfs count="285">
    <xf numFmtId="0" fontId="0" fillId="0" borderId="0" xfId="0"/>
    <xf numFmtId="0" fontId="2" fillId="0" borderId="0" xfId="0" applyFont="1"/>
    <xf numFmtId="0" fontId="0" fillId="0" borderId="0" xfId="0" applyAlignment="1">
      <alignment horizontal="center"/>
    </xf>
    <xf numFmtId="1" fontId="0" fillId="0" borderId="0" xfId="0" applyNumberFormat="1" applyAlignment="1">
      <alignment horizontal="center"/>
    </xf>
    <xf numFmtId="164" fontId="0" fillId="0" borderId="0" xfId="0" applyNumberFormat="1"/>
    <xf numFmtId="0" fontId="6" fillId="0" borderId="0" xfId="0" applyFont="1"/>
    <xf numFmtId="0" fontId="0" fillId="3" borderId="0" xfId="0" applyFill="1"/>
    <xf numFmtId="0" fontId="8" fillId="0" borderId="0" xfId="0" applyFont="1"/>
    <xf numFmtId="164" fontId="8" fillId="0" borderId="0" xfId="0" applyNumberFormat="1" applyFont="1"/>
    <xf numFmtId="1" fontId="0" fillId="0" borderId="0" xfId="0" applyNumberFormat="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7" fillId="0" borderId="0" xfId="0" applyFont="1"/>
    <xf numFmtId="164" fontId="0" fillId="0" borderId="0" xfId="0" applyNumberFormat="1" applyAlignment="1">
      <alignment horizontal="center"/>
    </xf>
    <xf numFmtId="0" fontId="1" fillId="0" borderId="0" xfId="0" applyFont="1" applyAlignment="1">
      <alignment horizontal="center"/>
    </xf>
    <xf numFmtId="165" fontId="0" fillId="0" borderId="0" xfId="0" applyNumberFormat="1"/>
    <xf numFmtId="0" fontId="0" fillId="0" borderId="9" xfId="0" applyBorder="1"/>
    <xf numFmtId="0" fontId="0" fillId="0" borderId="10" xfId="0" applyBorder="1"/>
    <xf numFmtId="0" fontId="0" fillId="0" borderId="11" xfId="0" applyBorder="1"/>
    <xf numFmtId="0" fontId="0" fillId="0" borderId="12" xfId="0" applyBorder="1"/>
    <xf numFmtId="0" fontId="0" fillId="0" borderId="14" xfId="0" applyBorder="1"/>
    <xf numFmtId="164" fontId="0" fillId="0" borderId="15" xfId="0" applyNumberFormat="1" applyBorder="1"/>
    <xf numFmtId="164" fontId="0" fillId="0" borderId="13" xfId="0" applyNumberFormat="1" applyBorder="1"/>
    <xf numFmtId="164" fontId="0" fillId="0" borderId="16" xfId="0" applyNumberFormat="1" applyBorder="1"/>
    <xf numFmtId="0" fontId="13" fillId="0" borderId="0" xfId="0" applyFont="1"/>
    <xf numFmtId="0" fontId="13" fillId="0" borderId="13" xfId="0" applyFont="1" applyBorder="1"/>
    <xf numFmtId="0" fontId="14" fillId="0" borderId="0" xfId="0" applyFont="1"/>
    <xf numFmtId="0" fontId="0" fillId="2" borderId="0" xfId="0" applyFill="1"/>
    <xf numFmtId="0" fontId="14" fillId="0" borderId="1" xfId="0" applyFont="1" applyBorder="1"/>
    <xf numFmtId="0" fontId="0" fillId="0" borderId="4" xfId="0" applyBorder="1"/>
    <xf numFmtId="0" fontId="0" fillId="0" borderId="6" xfId="0" applyBorder="1"/>
    <xf numFmtId="0" fontId="0" fillId="0" borderId="0" xfId="0" applyAlignment="1">
      <alignment horizontal="right"/>
    </xf>
    <xf numFmtId="0" fontId="0" fillId="0" borderId="0" xfId="0" applyAlignment="1">
      <alignment horizontal="center" vertical="center"/>
    </xf>
    <xf numFmtId="2" fontId="0" fillId="0" borderId="0" xfId="0" applyNumberFormat="1" applyAlignment="1">
      <alignment horizontal="center"/>
    </xf>
    <xf numFmtId="0" fontId="9" fillId="0" borderId="0" xfId="0" applyFont="1"/>
    <xf numFmtId="0" fontId="0" fillId="0" borderId="0" xfId="0" applyAlignment="1">
      <alignment vertical="center"/>
    </xf>
    <xf numFmtId="0" fontId="7" fillId="0" borderId="12" xfId="0" applyFont="1" applyBorder="1"/>
    <xf numFmtId="0" fontId="7" fillId="0" borderId="14" xfId="0" applyFont="1" applyBorder="1"/>
    <xf numFmtId="0" fontId="7" fillId="0" borderId="15" xfId="0" applyFont="1" applyBorder="1"/>
    <xf numFmtId="0" fontId="18" fillId="0" borderId="0" xfId="0" applyFont="1"/>
    <xf numFmtId="0" fontId="18" fillId="0" borderId="15" xfId="0" applyFont="1" applyBorder="1"/>
    <xf numFmtId="0" fontId="19" fillId="0" borderId="0" xfId="0" applyFont="1"/>
    <xf numFmtId="0" fontId="19" fillId="0" borderId="2" xfId="0" applyFont="1" applyBorder="1"/>
    <xf numFmtId="0" fontId="19" fillId="0" borderId="2" xfId="0" applyFont="1" applyBorder="1" applyAlignment="1">
      <alignment horizontal="center"/>
    </xf>
    <xf numFmtId="0" fontId="19" fillId="0" borderId="3" xfId="0" applyFont="1" applyBorder="1"/>
    <xf numFmtId="0" fontId="19" fillId="0" borderId="0" xfId="0" applyFont="1" applyAlignment="1">
      <alignment horizontal="center"/>
    </xf>
    <xf numFmtId="0" fontId="19" fillId="0" borderId="5" xfId="0" applyFont="1" applyBorder="1"/>
    <xf numFmtId="0" fontId="19" fillId="0" borderId="6" xfId="0" applyFont="1" applyBorder="1" applyAlignment="1">
      <alignment horizontal="center" vertical="center"/>
    </xf>
    <xf numFmtId="0" fontId="19" fillId="0" borderId="7" xfId="0" applyFont="1" applyBorder="1"/>
    <xf numFmtId="0" fontId="19" fillId="0" borderId="7" xfId="0" applyFont="1" applyBorder="1" applyAlignment="1">
      <alignment horizontal="center"/>
    </xf>
    <xf numFmtId="0" fontId="19" fillId="0" borderId="8" xfId="0" applyFont="1" applyBorder="1"/>
    <xf numFmtId="164" fontId="19" fillId="0" borderId="0" xfId="0" applyNumberFormat="1" applyFont="1" applyAlignment="1">
      <alignment horizontal="center"/>
    </xf>
    <xf numFmtId="164" fontId="19" fillId="0" borderId="7" xfId="0" applyNumberFormat="1" applyFont="1" applyBorder="1" applyAlignment="1">
      <alignment horizontal="center"/>
    </xf>
    <xf numFmtId="164" fontId="6" fillId="0" borderId="0" xfId="0" applyNumberFormat="1" applyFont="1"/>
    <xf numFmtId="165" fontId="6" fillId="0" borderId="0" xfId="0" applyNumberFormat="1" applyFont="1"/>
    <xf numFmtId="1" fontId="6" fillId="0" borderId="0" xfId="0" applyNumberFormat="1" applyFont="1"/>
    <xf numFmtId="0" fontId="6" fillId="3" borderId="0" xfId="0" applyFont="1" applyFill="1"/>
    <xf numFmtId="0" fontId="20" fillId="3" borderId="0" xfId="0" applyFont="1" applyFill="1"/>
    <xf numFmtId="164" fontId="6" fillId="3" borderId="0" xfId="0" applyNumberFormat="1" applyFont="1" applyFill="1"/>
    <xf numFmtId="2" fontId="6" fillId="0" borderId="0" xfId="0" applyNumberFormat="1" applyFont="1"/>
    <xf numFmtId="0" fontId="23" fillId="0" borderId="0" xfId="0" applyFont="1"/>
    <xf numFmtId="0" fontId="24" fillId="0" borderId="0" xfId="0" applyFont="1"/>
    <xf numFmtId="1" fontId="24" fillId="0" borderId="0" xfId="0" applyNumberFormat="1" applyFont="1"/>
    <xf numFmtId="164" fontId="24" fillId="0" borderId="0" xfId="0" applyNumberFormat="1" applyFont="1"/>
    <xf numFmtId="0" fontId="2" fillId="0" borderId="0" xfId="0" applyFont="1" applyAlignment="1">
      <alignment horizontal="center"/>
    </xf>
    <xf numFmtId="0" fontId="0" fillId="5" borderId="0" xfId="0" applyFill="1"/>
    <xf numFmtId="0" fontId="0" fillId="5" borderId="0" xfId="0" applyFill="1" applyAlignment="1">
      <alignment horizontal="center"/>
    </xf>
    <xf numFmtId="0" fontId="0" fillId="0" borderId="2" xfId="0" applyBorder="1" applyAlignment="1">
      <alignment horizontal="center" vertical="center"/>
    </xf>
    <xf numFmtId="0" fontId="0" fillId="0" borderId="2" xfId="0" applyBorder="1" applyAlignment="1">
      <alignment vertical="center"/>
    </xf>
    <xf numFmtId="14" fontId="0" fillId="0" borderId="2" xfId="0" applyNumberForma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3" xfId="0" applyBorder="1" applyAlignment="1">
      <alignment vertical="center"/>
    </xf>
    <xf numFmtId="0" fontId="19" fillId="0" borderId="5"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0" fillId="0" borderId="5" xfId="0" applyBorder="1" applyAlignment="1">
      <alignment vertical="center"/>
    </xf>
    <xf numFmtId="0" fontId="0" fillId="0" borderId="8" xfId="0" applyBorder="1" applyAlignment="1">
      <alignment vertical="center"/>
    </xf>
    <xf numFmtId="164" fontId="0" fillId="0" borderId="0" xfId="0" applyNumberFormat="1" applyAlignment="1">
      <alignment horizontal="center" vertical="center"/>
    </xf>
    <xf numFmtId="1" fontId="0" fillId="0" borderId="0" xfId="0" applyNumberFormat="1" applyAlignment="1">
      <alignment horizontal="center" vertical="center"/>
    </xf>
    <xf numFmtId="0" fontId="0" fillId="0" borderId="3" xfId="0" applyBorder="1" applyAlignment="1">
      <alignment horizontal="center" vertical="center"/>
    </xf>
    <xf numFmtId="164" fontId="0" fillId="0" borderId="2" xfId="0" applyNumberFormat="1" applyBorder="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right" vertical="center"/>
    </xf>
    <xf numFmtId="1" fontId="0" fillId="0" borderId="0" xfId="0" applyNumberFormat="1" applyAlignment="1">
      <alignment vertical="center"/>
    </xf>
    <xf numFmtId="166" fontId="0" fillId="0" borderId="0" xfId="0" applyNumberFormat="1" applyAlignment="1">
      <alignment horizontal="center" vertical="center"/>
    </xf>
    <xf numFmtId="1" fontId="0" fillId="0" borderId="7" xfId="0" applyNumberFormat="1" applyBorder="1" applyAlignment="1">
      <alignment horizontal="center" vertical="center"/>
    </xf>
    <xf numFmtId="164" fontId="0" fillId="0" borderId="3" xfId="0" applyNumberFormat="1" applyBorder="1" applyAlignment="1">
      <alignment vertical="center"/>
    </xf>
    <xf numFmtId="164" fontId="0" fillId="0" borderId="5" xfId="0" applyNumberFormat="1" applyBorder="1" applyAlignment="1">
      <alignment vertical="center"/>
    </xf>
    <xf numFmtId="1" fontId="0" fillId="0" borderId="2" xfId="0" applyNumberFormat="1" applyBorder="1" applyAlignment="1">
      <alignment horizontal="center" vertical="center"/>
    </xf>
    <xf numFmtId="164" fontId="0" fillId="0" borderId="7" xfId="0" applyNumberFormat="1" applyBorder="1" applyAlignment="1">
      <alignment horizontal="center" vertical="center"/>
    </xf>
    <xf numFmtId="0" fontId="21" fillId="0" borderId="0" xfId="0" applyFont="1" applyAlignment="1">
      <alignment horizontal="center" vertical="center"/>
    </xf>
    <xf numFmtId="0" fontId="14" fillId="0" borderId="0" xfId="0" applyFont="1" applyAlignment="1">
      <alignment vertical="center"/>
    </xf>
    <xf numFmtId="1"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21" fillId="0" borderId="7" xfId="0" applyFont="1" applyBorder="1" applyAlignment="1">
      <alignment horizontal="center" vertical="center"/>
    </xf>
    <xf numFmtId="0" fontId="14" fillId="0" borderId="7" xfId="0" applyFont="1" applyBorder="1" applyAlignment="1">
      <alignment vertical="center"/>
    </xf>
    <xf numFmtId="1" fontId="14" fillId="0" borderId="7"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64" fontId="22" fillId="0" borderId="0" xfId="0" applyNumberFormat="1" applyFont="1" applyAlignment="1">
      <alignment horizontal="center" vertical="center"/>
    </xf>
    <xf numFmtId="0" fontId="14" fillId="5" borderId="0" xfId="0" applyFont="1" applyFill="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2" fontId="0" fillId="0" borderId="0" xfId="0" applyNumberFormat="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4" fillId="5" borderId="0" xfId="0" applyFont="1" applyFill="1" applyAlignment="1">
      <alignment vertical="center"/>
    </xf>
    <xf numFmtId="0" fontId="27" fillId="5" borderId="0" xfId="0" applyFont="1" applyFill="1" applyAlignment="1">
      <alignment vertical="center"/>
    </xf>
    <xf numFmtId="0" fontId="0" fillId="4" borderId="0" xfId="0" applyFill="1"/>
    <xf numFmtId="164" fontId="0" fillId="0" borderId="0" xfId="0" applyNumberFormat="1" applyAlignment="1">
      <alignment horizontal="right"/>
    </xf>
    <xf numFmtId="0" fontId="0" fillId="0" borderId="29" xfId="0" applyBorder="1" applyAlignment="1">
      <alignment vertical="center"/>
    </xf>
    <xf numFmtId="0" fontId="0" fillId="0" borderId="30" xfId="0" applyBorder="1" applyAlignment="1">
      <alignment vertical="center"/>
    </xf>
    <xf numFmtId="0" fontId="14" fillId="5" borderId="0" xfId="0" applyFont="1" applyFill="1" applyAlignment="1">
      <alignment horizontal="left"/>
    </xf>
    <xf numFmtId="1" fontId="22" fillId="0" borderId="0" xfId="0" applyNumberFormat="1" applyFont="1"/>
    <xf numFmtId="0" fontId="14" fillId="5" borderId="0" xfId="0" applyFont="1" applyFill="1" applyAlignment="1">
      <alignment horizontal="right"/>
    </xf>
    <xf numFmtId="0" fontId="25" fillId="0" borderId="0" xfId="0" applyFont="1" applyAlignment="1">
      <alignment horizontal="center" vertical="center"/>
    </xf>
    <xf numFmtId="0" fontId="0" fillId="0" borderId="2" xfId="0" applyBorder="1" applyAlignment="1">
      <alignment horizontal="center"/>
    </xf>
    <xf numFmtId="164" fontId="0" fillId="0" borderId="5" xfId="0" applyNumberFormat="1" applyBorder="1"/>
    <xf numFmtId="164" fontId="7" fillId="0" borderId="0" xfId="0" applyNumberFormat="1" applyFont="1" applyAlignment="1">
      <alignment horizontal="center"/>
    </xf>
    <xf numFmtId="164" fontId="0" fillId="0" borderId="7" xfId="0" applyNumberFormat="1" applyBorder="1" applyAlignment="1">
      <alignment horizontal="center"/>
    </xf>
    <xf numFmtId="0" fontId="0" fillId="0" borderId="7" xfId="0" applyBorder="1" applyAlignment="1">
      <alignment horizontal="center"/>
    </xf>
    <xf numFmtId="1" fontId="0" fillId="0" borderId="2" xfId="0" applyNumberFormat="1" applyBorder="1" applyAlignment="1">
      <alignment horizontal="center"/>
    </xf>
    <xf numFmtId="164" fontId="0" fillId="0" borderId="2" xfId="0" applyNumberFormat="1" applyBorder="1" applyAlignment="1">
      <alignment horizontal="center"/>
    </xf>
    <xf numFmtId="1" fontId="0" fillId="0" borderId="7" xfId="0" applyNumberFormat="1" applyBorder="1" applyAlignment="1">
      <alignment horizontal="center"/>
    </xf>
    <xf numFmtId="1" fontId="22" fillId="0" borderId="2" xfId="0" applyNumberFormat="1" applyFont="1" applyBorder="1" applyAlignment="1">
      <alignment horizontal="center"/>
    </xf>
    <xf numFmtId="1" fontId="14" fillId="0" borderId="0" xfId="0" applyNumberFormat="1" applyFont="1" applyAlignment="1">
      <alignment horizontal="center"/>
    </xf>
    <xf numFmtId="1" fontId="14" fillId="0" borderId="7" xfId="0" applyNumberFormat="1" applyFont="1" applyBorder="1" applyAlignment="1">
      <alignment horizontal="center"/>
    </xf>
    <xf numFmtId="0" fontId="14" fillId="0" borderId="0" xfId="0" applyFont="1" applyAlignment="1">
      <alignment horizontal="center"/>
    </xf>
    <xf numFmtId="0" fontId="14" fillId="0" borderId="7" xfId="0" applyFont="1" applyBorder="1" applyAlignment="1">
      <alignment horizontal="center"/>
    </xf>
    <xf numFmtId="1" fontId="28" fillId="0" borderId="0" xfId="0" applyNumberFormat="1" applyFont="1" applyAlignment="1">
      <alignment horizontal="center"/>
    </xf>
    <xf numFmtId="0" fontId="19" fillId="7" borderId="41" xfId="0" applyFont="1" applyFill="1" applyBorder="1" applyAlignment="1">
      <alignment horizontal="center" vertical="center"/>
    </xf>
    <xf numFmtId="0" fontId="0" fillId="6" borderId="44" xfId="0" applyFill="1" applyBorder="1" applyAlignment="1">
      <alignment horizontal="center" vertical="center"/>
    </xf>
    <xf numFmtId="0" fontId="29" fillId="0" borderId="0" xfId="0" applyFont="1"/>
    <xf numFmtId="0" fontId="0" fillId="0" borderId="0" xfId="0" quotePrefix="1"/>
    <xf numFmtId="0" fontId="0" fillId="9" borderId="0" xfId="0" applyFill="1"/>
    <xf numFmtId="0" fontId="0" fillId="10" borderId="0" xfId="0" applyFill="1"/>
    <xf numFmtId="0" fontId="0" fillId="0" borderId="0" xfId="0" applyAlignment="1">
      <alignment horizontal="left"/>
    </xf>
    <xf numFmtId="0" fontId="0" fillId="0" borderId="0" xfId="0" applyAlignment="1">
      <alignment horizontal="left" vertical="center" wrapText="1"/>
    </xf>
    <xf numFmtId="0" fontId="0" fillId="0" borderId="0" xfId="0" applyAlignment="1">
      <alignment wrapText="1"/>
    </xf>
    <xf numFmtId="0" fontId="31" fillId="11" borderId="0" xfId="0" applyFont="1" applyFill="1"/>
    <xf numFmtId="0" fontId="31" fillId="11" borderId="0" xfId="0" applyFont="1" applyFill="1" applyAlignment="1">
      <alignment horizontal="center" vertical="center"/>
    </xf>
    <xf numFmtId="0" fontId="33" fillId="11" borderId="0" xfId="0" applyFont="1" applyFill="1" applyAlignment="1">
      <alignment horizontal="center"/>
    </xf>
    <xf numFmtId="0" fontId="32" fillId="5" borderId="0" xfId="0" applyFont="1" applyFill="1" applyAlignment="1">
      <alignment horizontal="left" vertical="center"/>
    </xf>
    <xf numFmtId="0" fontId="0" fillId="5" borderId="0" xfId="0" applyFill="1" applyAlignment="1">
      <alignment horizontal="left"/>
    </xf>
    <xf numFmtId="0" fontId="0" fillId="5" borderId="0" xfId="0" applyFill="1" applyAlignment="1">
      <alignment horizontal="left" vertical="center" wrapText="1"/>
    </xf>
    <xf numFmtId="0" fontId="0" fillId="5" borderId="0" xfId="0" applyFill="1" applyAlignment="1">
      <alignment horizontal="left" vertical="center"/>
    </xf>
    <xf numFmtId="0" fontId="0" fillId="5" borderId="0" xfId="0" applyFill="1" applyAlignment="1">
      <alignment horizontal="left" wrapText="1"/>
    </xf>
    <xf numFmtId="0" fontId="36" fillId="0" borderId="0" xfId="1"/>
    <xf numFmtId="0" fontId="22" fillId="0" borderId="0" xfId="0" applyFont="1"/>
    <xf numFmtId="0" fontId="30" fillId="11" borderId="0" xfId="0" applyFont="1" applyFill="1" applyAlignment="1">
      <alignment horizontal="center"/>
    </xf>
    <xf numFmtId="0" fontId="15" fillId="11" borderId="0" xfId="0" applyFont="1" applyFill="1" applyAlignment="1">
      <alignment horizontal="center"/>
    </xf>
    <xf numFmtId="0" fontId="0" fillId="12" borderId="0" xfId="0" applyFill="1"/>
    <xf numFmtId="0" fontId="19" fillId="0" borderId="7" xfId="0" applyFont="1" applyBorder="1" applyAlignment="1">
      <alignment horizontal="center" vertical="center"/>
    </xf>
    <xf numFmtId="0" fontId="14" fillId="5" borderId="4" xfId="0" applyFont="1" applyFill="1" applyBorder="1" applyAlignment="1">
      <alignment vertical="center"/>
    </xf>
    <xf numFmtId="0" fontId="14" fillId="5" borderId="6" xfId="0" applyFont="1" applyFill="1" applyBorder="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7" borderId="46" xfId="0" applyFont="1" applyFill="1" applyBorder="1" applyAlignment="1">
      <alignment horizontal="center" vertical="center"/>
    </xf>
    <xf numFmtId="0" fontId="14" fillId="7" borderId="39" xfId="0" applyFont="1"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0" fontId="0" fillId="7" borderId="47" xfId="0" applyFill="1" applyBorder="1" applyAlignment="1" applyProtection="1">
      <alignment horizontal="center" vertical="center"/>
      <protection locked="0"/>
    </xf>
    <xf numFmtId="0" fontId="0" fillId="7" borderId="42" xfId="0" applyFill="1" applyBorder="1" applyAlignment="1" applyProtection="1">
      <alignment horizontal="center" vertical="center"/>
      <protection locked="0"/>
    </xf>
    <xf numFmtId="0" fontId="0" fillId="7" borderId="41" xfId="0" applyFill="1" applyBorder="1" applyAlignment="1" applyProtection="1">
      <alignment horizontal="center" vertical="center"/>
      <protection locked="0"/>
    </xf>
    <xf numFmtId="0" fontId="0" fillId="0" borderId="0" xfId="0" applyAlignment="1" applyProtection="1">
      <alignment horizontal="center"/>
      <protection locked="0"/>
    </xf>
    <xf numFmtId="0" fontId="0" fillId="7" borderId="40" xfId="0" applyFill="1" applyBorder="1" applyProtection="1">
      <protection locked="0"/>
    </xf>
    <xf numFmtId="0" fontId="0" fillId="7" borderId="40" xfId="0" applyFill="1" applyBorder="1" applyAlignment="1" applyProtection="1">
      <alignment horizontal="left"/>
      <protection locked="0"/>
    </xf>
    <xf numFmtId="0" fontId="0" fillId="8" borderId="40" xfId="0" applyFill="1" applyBorder="1" applyAlignment="1" applyProtection="1">
      <alignment horizontal="center"/>
      <protection locked="0"/>
    </xf>
    <xf numFmtId="0" fontId="37" fillId="0" borderId="0" xfId="0" applyFont="1"/>
    <xf numFmtId="0" fontId="25" fillId="0" borderId="0" xfId="0" applyFont="1" applyAlignment="1" applyProtection="1">
      <alignment horizontal="center" vertical="center"/>
      <protection locked="0"/>
    </xf>
    <xf numFmtId="167" fontId="0" fillId="0" borderId="0" xfId="0" applyNumberFormat="1" applyAlignment="1">
      <alignment horizontal="center" vertical="center"/>
    </xf>
    <xf numFmtId="0" fontId="0" fillId="0" borderId="0" xfId="0" applyAlignment="1">
      <alignment horizontal="center" wrapText="1"/>
    </xf>
    <xf numFmtId="164" fontId="31" fillId="0" borderId="0" xfId="0" applyNumberFormat="1" applyFont="1" applyAlignment="1">
      <alignment horizontal="center" vertical="center"/>
    </xf>
    <xf numFmtId="1" fontId="31" fillId="0" borderId="0" xfId="0" applyNumberFormat="1" applyFont="1" applyAlignment="1">
      <alignment horizontal="center" vertical="center"/>
    </xf>
    <xf numFmtId="164" fontId="38" fillId="0" borderId="30" xfId="0" applyNumberFormat="1" applyFont="1" applyBorder="1"/>
    <xf numFmtId="0" fontId="38" fillId="0" borderId="30" xfId="0" applyFont="1" applyBorder="1"/>
    <xf numFmtId="0" fontId="0" fillId="0" borderId="0" xfId="0" applyAlignment="1">
      <alignment horizontal="left" wrapText="1"/>
    </xf>
    <xf numFmtId="0" fontId="30" fillId="11" borderId="0" xfId="0" applyFont="1" applyFill="1" applyAlignment="1">
      <alignment horizontal="center" wrapText="1"/>
    </xf>
    <xf numFmtId="0" fontId="0" fillId="3" borderId="0" xfId="0" applyFill="1" applyAlignment="1">
      <alignment wrapText="1"/>
    </xf>
    <xf numFmtId="0" fontId="22" fillId="0" borderId="0" xfId="0" applyFont="1" applyAlignment="1">
      <alignment wrapText="1"/>
    </xf>
    <xf numFmtId="0" fontId="0" fillId="0" borderId="0" xfId="0" quotePrefix="1" applyAlignment="1">
      <alignment wrapText="1"/>
    </xf>
    <xf numFmtId="0" fontId="0" fillId="4"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12" borderId="0" xfId="0" applyFill="1" applyAlignment="1">
      <alignment wrapText="1"/>
    </xf>
    <xf numFmtId="0" fontId="22" fillId="0" borderId="10" xfId="0" applyFont="1" applyBorder="1"/>
    <xf numFmtId="0" fontId="22" fillId="0" borderId="10" xfId="0" applyFont="1" applyBorder="1" applyAlignment="1">
      <alignment wrapText="1"/>
    </xf>
    <xf numFmtId="0" fontId="22" fillId="0" borderId="11" xfId="0" applyFont="1" applyBorder="1" applyAlignment="1">
      <alignment wrapText="1"/>
    </xf>
    <xf numFmtId="0" fontId="22" fillId="0" borderId="13" xfId="0" applyFont="1" applyBorder="1" applyAlignment="1">
      <alignment wrapText="1"/>
    </xf>
    <xf numFmtId="0" fontId="22" fillId="0" borderId="15" xfId="0" applyFont="1" applyBorder="1"/>
    <xf numFmtId="0" fontId="22" fillId="0" borderId="16" xfId="0" applyFont="1" applyBorder="1"/>
    <xf numFmtId="0" fontId="22" fillId="0" borderId="9" xfId="0" applyFont="1" applyBorder="1"/>
    <xf numFmtId="0" fontId="22" fillId="0" borderId="12" xfId="0" applyFont="1" applyBorder="1"/>
    <xf numFmtId="0" fontId="22" fillId="0" borderId="14" xfId="0" applyFont="1" applyBorder="1"/>
    <xf numFmtId="0" fontId="14" fillId="5" borderId="1"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0" fillId="7" borderId="36" xfId="0" applyFill="1" applyBorder="1" applyAlignment="1" applyProtection="1">
      <alignment horizontal="center" vertical="center"/>
      <protection locked="0"/>
    </xf>
    <xf numFmtId="0" fontId="0" fillId="7" borderId="37" xfId="0" applyFill="1" applyBorder="1" applyAlignment="1" applyProtection="1">
      <alignment horizontal="center" vertical="center"/>
      <protection locked="0"/>
    </xf>
    <xf numFmtId="0" fontId="0" fillId="7" borderId="38" xfId="0" applyFill="1" applyBorder="1" applyAlignment="1" applyProtection="1">
      <alignment horizontal="center" vertical="center"/>
      <protection locked="0"/>
    </xf>
    <xf numFmtId="0" fontId="0" fillId="7" borderId="33" xfId="0"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25" fillId="5" borderId="0" xfId="0" applyFont="1" applyFill="1" applyAlignment="1">
      <alignment horizontal="center" vertical="center"/>
    </xf>
    <xf numFmtId="0" fontId="24" fillId="0" borderId="0" xfId="0" applyFont="1" applyAlignment="1">
      <alignment horizontal="center"/>
    </xf>
    <xf numFmtId="0" fontId="14" fillId="5" borderId="1" xfId="0" applyFont="1" applyFill="1" applyBorder="1" applyAlignment="1">
      <alignment horizontal="center" vertical="top" wrapText="1"/>
    </xf>
    <xf numFmtId="0" fontId="14" fillId="5" borderId="4" xfId="0" applyFont="1" applyFill="1" applyBorder="1" applyAlignment="1">
      <alignment horizontal="center" vertical="top"/>
    </xf>
    <xf numFmtId="0" fontId="14" fillId="5" borderId="6" xfId="0" applyFont="1" applyFill="1" applyBorder="1" applyAlignment="1">
      <alignment horizontal="center"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7" borderId="33" xfId="0" applyFill="1" applyBorder="1" applyAlignment="1" applyProtection="1">
      <alignment horizontal="left" vertical="center"/>
      <protection locked="0"/>
    </xf>
    <xf numFmtId="0" fontId="0" fillId="7" borderId="34" xfId="0" applyFill="1" applyBorder="1" applyAlignment="1" applyProtection="1">
      <alignment horizontal="left" vertical="center"/>
      <protection locked="0"/>
    </xf>
    <xf numFmtId="0" fontId="0" fillId="7" borderId="43" xfId="0" applyFill="1" applyBorder="1" applyAlignment="1" applyProtection="1">
      <alignment horizontal="left" vertical="center"/>
      <protection locked="0"/>
    </xf>
    <xf numFmtId="0" fontId="26" fillId="0" borderId="5" xfId="0" applyFont="1" applyBorder="1" applyAlignment="1">
      <alignment horizontal="left" vertical="top" wrapText="1"/>
    </xf>
    <xf numFmtId="0" fontId="26" fillId="0" borderId="5" xfId="0" applyFont="1" applyBorder="1" applyAlignment="1">
      <alignment horizontal="left" vertical="center" wrapText="1"/>
    </xf>
    <xf numFmtId="0" fontId="26" fillId="0" borderId="3" xfId="0" applyFont="1" applyBorder="1" applyAlignment="1">
      <alignment horizontal="left" wrapText="1"/>
    </xf>
    <xf numFmtId="0" fontId="26" fillId="0" borderId="5" xfId="0" applyFont="1" applyBorder="1" applyAlignment="1">
      <alignment horizontal="left" wrapText="1"/>
    </xf>
    <xf numFmtId="0" fontId="26" fillId="0" borderId="8" xfId="0" applyFont="1" applyBorder="1" applyAlignment="1">
      <alignment horizontal="left" wrapText="1"/>
    </xf>
    <xf numFmtId="0" fontId="14" fillId="5" borderId="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0" fillId="0" borderId="0" xfId="0" applyAlignment="1">
      <alignment horizontal="left" wrapText="1"/>
    </xf>
    <xf numFmtId="0" fontId="35" fillId="11" borderId="0" xfId="0" applyFont="1" applyFill="1" applyAlignment="1">
      <alignment horizontal="center" vertical="center"/>
    </xf>
    <xf numFmtId="0" fontId="36" fillId="5" borderId="0" xfId="1" applyFill="1" applyAlignment="1">
      <alignment horizontal="left" vertical="center" wrapText="1"/>
    </xf>
    <xf numFmtId="0" fontId="0" fillId="5" borderId="0" xfId="0" applyFill="1" applyAlignment="1">
      <alignment horizontal="left" vertical="center" wrapText="1"/>
    </xf>
    <xf numFmtId="0" fontId="0" fillId="5" borderId="0" xfId="0" applyFill="1" applyAlignment="1">
      <alignment horizontal="left" wrapText="1"/>
    </xf>
    <xf numFmtId="0" fontId="34" fillId="11" borderId="0" xfId="0" applyFont="1" applyFill="1" applyAlignment="1">
      <alignment horizontal="center" wrapText="1"/>
    </xf>
    <xf numFmtId="0" fontId="31" fillId="11" borderId="0" xfId="0" applyFont="1" applyFill="1" applyAlignment="1">
      <alignment horizontal="center" wrapText="1"/>
    </xf>
    <xf numFmtId="0" fontId="28" fillId="0" borderId="0" xfId="0" applyFont="1" applyAlignment="1" applyProtection="1">
      <alignment horizontal="center" vertical="center"/>
      <protection locked="0"/>
    </xf>
    <xf numFmtId="0" fontId="6" fillId="0" borderId="0" xfId="0" applyFont="1" applyAlignment="1">
      <alignment horizont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xf>
    <xf numFmtId="0" fontId="19" fillId="0" borderId="5" xfId="0" applyFont="1" applyBorder="1" applyAlignment="1">
      <alignment horizontal="center"/>
    </xf>
    <xf numFmtId="0" fontId="26" fillId="0" borderId="3" xfId="0" applyFont="1" applyBorder="1" applyAlignment="1">
      <alignment horizontal="left" vertical="center" wrapText="1"/>
    </xf>
    <xf numFmtId="0" fontId="14" fillId="5" borderId="0" xfId="0" applyFont="1" applyFill="1" applyAlignment="1">
      <alignment horizontal="center" vertical="center"/>
    </xf>
    <xf numFmtId="0" fontId="0" fillId="7" borderId="45"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4" fillId="0" borderId="0" xfId="0" applyFont="1" applyAlignment="1">
      <alignment horizontal="left"/>
    </xf>
    <xf numFmtId="0" fontId="14" fillId="5" borderId="0" xfId="0" applyFont="1" applyFill="1" applyAlignment="1">
      <alignment horizontal="left" vertical="center"/>
    </xf>
    <xf numFmtId="0" fontId="0" fillId="8" borderId="45" xfId="0" applyFill="1" applyBorder="1" applyAlignment="1" applyProtection="1">
      <alignment horizontal="center"/>
      <protection locked="0"/>
    </xf>
    <xf numFmtId="0" fontId="0" fillId="8" borderId="46" xfId="0" applyFill="1" applyBorder="1" applyAlignment="1" applyProtection="1">
      <alignment horizontal="center"/>
      <protection locked="0"/>
    </xf>
    <xf numFmtId="0" fontId="0" fillId="5" borderId="0" xfId="0" applyFill="1" applyAlignment="1">
      <alignment horizontal="center" vertical="center"/>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0" xfId="0" applyFont="1" applyFill="1" applyAlignment="1">
      <alignment horizontal="center" vertical="center"/>
    </xf>
    <xf numFmtId="0" fontId="15" fillId="5" borderId="30" xfId="0" applyFont="1" applyFill="1" applyBorder="1" applyAlignment="1">
      <alignment horizontal="center" vertical="center"/>
    </xf>
    <xf numFmtId="0" fontId="11" fillId="5" borderId="26"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0" xfId="0" applyFont="1" applyFill="1" applyAlignment="1">
      <alignment horizontal="center" vertical="center"/>
    </xf>
    <xf numFmtId="0" fontId="11" fillId="5" borderId="30"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0" xfId="0" applyFont="1" applyFill="1" applyAlignment="1">
      <alignment horizontal="center" vertical="center"/>
    </xf>
    <xf numFmtId="0" fontId="12" fillId="5" borderId="30"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0" xfId="0" applyFont="1" applyFill="1" applyAlignment="1">
      <alignment horizontal="center" vertical="center"/>
    </xf>
    <xf numFmtId="0" fontId="10" fillId="5" borderId="30" xfId="0" applyFont="1" applyFill="1" applyBorder="1" applyAlignment="1">
      <alignment horizontal="center" vertical="center"/>
    </xf>
  </cellXfs>
  <cellStyles count="2">
    <cellStyle name="Link" xfId="1" builtinId="8"/>
    <cellStyle name="Standard" xfId="0" builtinId="0"/>
  </cellStyles>
  <dxfs count="46">
    <dxf>
      <font>
        <b/>
        <i val="0"/>
        <color rgb="FF00B050"/>
      </font>
    </dxf>
    <dxf>
      <font>
        <b/>
        <i val="0"/>
        <color rgb="FFFF0000"/>
      </font>
    </dxf>
    <dxf>
      <font>
        <b/>
        <i val="0"/>
        <color rgb="FF00B0F0"/>
      </font>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color theme="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FF0000"/>
      </font>
      <fill>
        <patternFill patternType="gray0625">
          <fgColor rgb="FFFF0000"/>
          <bgColor rgb="FFFFFF00"/>
        </patternFill>
      </fill>
    </dxf>
    <dxf>
      <font>
        <b/>
        <i/>
        <color rgb="FF00B050"/>
      </font>
      <fill>
        <patternFill patternType="none">
          <bgColor auto="1"/>
        </patternFill>
      </fill>
    </dxf>
    <dxf>
      <font>
        <b/>
        <i/>
        <color rgb="FFFF0000"/>
      </font>
    </dxf>
    <dxf>
      <font>
        <b/>
        <i/>
        <color rgb="FF00B050"/>
      </font>
    </dxf>
    <dxf>
      <font>
        <b/>
        <i/>
        <color rgb="FFFFC000"/>
      </font>
    </dxf>
    <dxf>
      <font>
        <b/>
        <i/>
        <color rgb="FF00B050"/>
      </font>
    </dxf>
    <dxf>
      <font>
        <b/>
        <i/>
        <color rgb="FFFF0000"/>
      </font>
      <fill>
        <patternFill patternType="gray0625">
          <fgColor rgb="FFFF0000"/>
          <bgColor rgb="FFFFFF00"/>
        </patternFill>
      </fill>
    </dxf>
    <dxf>
      <font>
        <b/>
        <i/>
        <color rgb="FF00B050"/>
      </font>
    </dxf>
    <dxf>
      <font>
        <b/>
        <i/>
        <color rgb="FF00B050"/>
      </font>
    </dxf>
    <dxf>
      <font>
        <b/>
        <i/>
        <color rgb="FFFF0000"/>
      </font>
      <fill>
        <patternFill patternType="gray0625">
          <fgColor rgb="FFFF0000"/>
          <bgColor rgb="FFFFFF00"/>
        </patternFill>
      </fill>
    </dxf>
    <dxf>
      <font>
        <b/>
        <i/>
        <color rgb="FF00B050"/>
      </font>
    </dxf>
    <dxf>
      <font>
        <color theme="0"/>
      </font>
      <fill>
        <patternFill patternType="none">
          <bgColor auto="1"/>
        </patternFill>
      </fill>
      <border>
        <right/>
        <top/>
        <bottom/>
      </border>
    </dxf>
    <dxf>
      <font>
        <b/>
        <i/>
        <color rgb="FFFF0000"/>
      </font>
      <fill>
        <patternFill patternType="gray125">
          <fgColor rgb="FFFF0000"/>
          <bgColor rgb="FFFFFF00"/>
        </patternFill>
      </fill>
    </dxf>
    <dxf>
      <font>
        <b/>
        <i/>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8B25-42DD-A387-4444E816048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8B25-42DD-A387-4444E816048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8B25-42DD-A387-4444E816048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3-8B25-42DD-A387-4444E816048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4-8B25-42DD-A387-4444E816048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8B25-42DD-A387-4444E816048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6-8B25-42DD-A387-4444E816048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7-8B25-42DD-A387-4444E816048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8-8B25-42DD-A387-4444E816048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9-8B25-42DD-A387-4444E816048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A-8B25-42DD-A387-4444E816048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B-8B25-42DD-A387-4444E816048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C-8B25-42DD-A387-4444E816048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D-8B25-42DD-A387-4444E816048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E-8B25-42DD-A387-4444E816048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F-8B25-42DD-A387-4444E816048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0-8B25-42DD-A387-4444E816048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1-8B25-42DD-A387-4444E816048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2-8B25-42DD-A387-4444E816048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3-8B25-42DD-A387-4444E816048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4-8B25-42DD-A387-4444E816048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5-8B25-42DD-A387-4444E816048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6-8B25-42DD-A387-4444E816048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7-8B25-42DD-A387-4444E816048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8-8B25-42DD-A387-4444E816048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9-8B25-42DD-A387-4444E816048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A-8B25-42DD-A387-4444E816048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B-8B25-42DD-A387-4444E816048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C-8B25-42DD-A387-4444E816048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D-8B25-42DD-A387-4444E816048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E-8B25-42DD-A387-4444E816048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F-8B25-42DD-A387-4444E816048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0-8B25-42DD-A387-4444E816048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1-8B25-42DD-A387-4444E816048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2-8B25-42DD-A387-4444E816048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3-8B25-42DD-A387-4444E816048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4-8B25-42DD-A387-4444E816048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5-8B25-42DD-A387-4444E816048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6-8B25-42DD-A387-4444E816048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7-8B25-42DD-A387-4444E816048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8-8B25-42DD-A387-4444E816048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9-8B25-42DD-A387-4444E816048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A-8B25-42DD-A387-4444E816048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B-8B25-42DD-A387-4444E816048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C-8B25-42DD-A387-4444E816048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D-8B25-42DD-A387-4444E816048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E-8B25-42DD-A387-4444E816048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F-8B25-42DD-A387-4444E816048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spPr>
        <a:ln>
          <a:noFill/>
        </a:ln>
      </c:spPr>
    </c:plotArea>
    <c:plotVisOnly val="1"/>
    <c:dispBlanksAs val="gap"/>
    <c:showDLblsOverMax val="0"/>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B01-49BA-9B29-103C9BAD8BC7}"/>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B01-49BA-9B29-103C9BAD8BC7}"/>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B01-49BA-9B29-103C9BAD8BC7}"/>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B01-49BA-9B29-103C9BAD8BC7}"/>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B01-49BA-9B29-103C9BAD8BC7}"/>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B01-49BA-9B29-103C9BAD8BC7}"/>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B01-49BA-9B29-103C9BAD8BC7}"/>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B01-49BA-9B29-103C9BAD8BC7}"/>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B01-49BA-9B29-103C9BAD8BC7}"/>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B01-49BA-9B29-103C9BAD8BC7}"/>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B01-49BA-9B29-103C9BAD8BC7}"/>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B01-49BA-9B29-103C9BAD8BC7}"/>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3B01-49BA-9B29-103C9BAD8BC7}"/>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3B01-49BA-9B29-103C9BAD8BC7}"/>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3B01-49BA-9B29-103C9BAD8BC7}"/>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3B01-49BA-9B29-103C9BAD8BC7}"/>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3B01-49BA-9B29-103C9BAD8BC7}"/>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3B01-49BA-9B29-103C9BAD8BC7}"/>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3B01-49BA-9B29-103C9BAD8BC7}"/>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3B01-49BA-9B29-103C9BAD8BC7}"/>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3B01-49BA-9B29-103C9BAD8BC7}"/>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3B01-49BA-9B29-103C9BAD8BC7}"/>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3B01-49BA-9B29-103C9BAD8BC7}"/>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3B01-49BA-9B29-103C9BAD8BC7}"/>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3B01-49BA-9B29-103C9BAD8BC7}"/>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3B01-49BA-9B29-103C9BAD8BC7}"/>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3B01-49BA-9B29-103C9BAD8BC7}"/>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3B01-49BA-9B29-103C9BAD8BC7}"/>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3B01-49BA-9B29-103C9BAD8BC7}"/>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3B01-49BA-9B29-103C9BAD8BC7}"/>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3B01-49BA-9B29-103C9BAD8BC7}"/>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3B01-49BA-9B29-103C9BAD8BC7}"/>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3B01-49BA-9B29-103C9BAD8BC7}"/>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3B01-49BA-9B29-103C9BAD8BC7}"/>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3B01-49BA-9B29-103C9BAD8BC7}"/>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3B01-49BA-9B29-103C9BAD8BC7}"/>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3B01-49BA-9B29-103C9BAD8BC7}"/>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3B01-49BA-9B29-103C9BAD8BC7}"/>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3B01-49BA-9B29-103C9BAD8BC7}"/>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3B01-49BA-9B29-103C9BAD8BC7}"/>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3B01-49BA-9B29-103C9BAD8BC7}"/>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12700">
      <a:noFill/>
    </a:ln>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8E10-48B3-AC44-E7A7B6F842E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8E10-48B3-AC44-E7A7B6F842E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8E10-48B3-AC44-E7A7B6F842E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8E10-48B3-AC44-E7A7B6F842E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8E10-48B3-AC44-E7A7B6F842E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8E10-48B3-AC44-E7A7B6F842E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8E10-48B3-AC44-E7A7B6F842E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8E10-48B3-AC44-E7A7B6F842E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8E10-48B3-AC44-E7A7B6F842E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8E10-48B3-AC44-E7A7B6F842E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8E10-48B3-AC44-E7A7B6F842E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8E10-48B3-AC44-E7A7B6F842E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8E10-48B3-AC44-E7A7B6F842E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8E10-48B3-AC44-E7A7B6F842E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8E10-48B3-AC44-E7A7B6F842E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8E10-48B3-AC44-E7A7B6F842E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8E10-48B3-AC44-E7A7B6F842E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8E10-48B3-AC44-E7A7B6F842E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8E10-48B3-AC44-E7A7B6F842E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8E10-48B3-AC44-E7A7B6F842E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8E10-48B3-AC44-E7A7B6F842E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8E10-48B3-AC44-E7A7B6F842E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8E10-48B3-AC44-E7A7B6F842E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8E10-48B3-AC44-E7A7B6F842E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8E10-48B3-AC44-E7A7B6F842E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8E10-48B3-AC44-E7A7B6F842E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8E10-48B3-AC44-E7A7B6F842E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8E10-48B3-AC44-E7A7B6F842E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68-742D-484B-8084-743C01B6E6F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69-742D-484B-8084-743C01B6E6F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6A-742D-484B-8084-743C01B6E6F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6B-742D-484B-8084-743C01B6E6F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C-742D-484B-8084-743C01B6E6F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D-742D-484B-8084-743C01B6E6F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E-742D-484B-8084-743C01B6E6F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F-742D-484B-8084-743C01B6E6F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0-742D-484B-8084-743C01B6E6F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1-742D-484B-8084-743C01B6E6F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2-742D-484B-8084-743C01B6E6F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3-742D-484B-8084-743C01B6E6F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4-742D-484B-8084-743C01B6E6F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5-742D-484B-8084-743C01B6E6F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6-742D-484B-8084-743C01B6E6F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7-742D-484B-8084-743C01B6E6F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8-742D-484B-8084-743C01B6E6F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9-742D-484B-8084-743C01B6E6F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A-742D-484B-8084-743C01B6E6F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B-742D-484B-8084-743C01B6E6F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C-742D-484B-8084-743C01B6E6F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D-742D-484B-8084-743C01B6E6F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E-742D-484B-8084-743C01B6E6F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F-742D-484B-8084-743C01B6E6F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39-742D-484B-8084-743C01B6E6F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3B-742D-484B-8084-743C01B6E6F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3D-742D-484B-8084-743C01B6E6F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3F-742D-484B-8084-743C01B6E6F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1-742D-484B-8084-743C01B6E6F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3-742D-484B-8084-743C01B6E6F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5-742D-484B-8084-743C01B6E6F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7-742D-484B-8084-743C01B6E6F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49-742D-484B-8084-743C01B6E6F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4B-742D-484B-8084-743C01B6E6F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4D-742D-484B-8084-743C01B6E6F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4F-742D-484B-8084-743C01B6E6F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1-742D-484B-8084-743C01B6E6F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3-742D-484B-8084-743C01B6E6F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5-742D-484B-8084-743C01B6E6F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7-742D-484B-8084-743C01B6E6F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59-742D-484B-8084-743C01B6E6F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5B-742D-484B-8084-743C01B6E6F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5D-742D-484B-8084-743C01B6E6F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5F-742D-484B-8084-743C01B6E6F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1-742D-484B-8084-743C01B6E6F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3-742D-484B-8084-743C01B6E6F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5-742D-484B-8084-743C01B6E6F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7-742D-484B-8084-743C01B6E6F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plotArea>
    <c:plotVisOnly val="1"/>
    <c:dispBlanksAs val="gap"/>
    <c:showDLblsOverMax val="0"/>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D086-4EC5-9062-AFA3743AA106}"/>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D086-4EC5-9062-AFA3743AA106}"/>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D086-4EC5-9062-AFA3743AA106}"/>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D086-4EC5-9062-AFA3743AA106}"/>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D086-4EC5-9062-AFA3743AA106}"/>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D086-4EC5-9062-AFA3743AA106}"/>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D086-4EC5-9062-AFA3743AA106}"/>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D086-4EC5-9062-AFA3743AA106}"/>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D086-4EC5-9062-AFA3743AA106}"/>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D086-4EC5-9062-AFA3743AA106}"/>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D086-4EC5-9062-AFA3743AA106}"/>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D086-4EC5-9062-AFA3743AA106}"/>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D086-4EC5-9062-AFA3743AA106}"/>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D086-4EC5-9062-AFA3743AA106}"/>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D086-4EC5-9062-AFA3743AA106}"/>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D086-4EC5-9062-AFA3743AA106}"/>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D086-4EC5-9062-AFA3743AA106}"/>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D086-4EC5-9062-AFA3743AA106}"/>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D086-4EC5-9062-AFA3743AA106}"/>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D086-4EC5-9062-AFA3743AA106}"/>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D086-4EC5-9062-AFA3743AA106}"/>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D086-4EC5-9062-AFA3743AA106}"/>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D086-4EC5-9062-AFA3743AA106}"/>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D086-4EC5-9062-AFA3743AA106}"/>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D086-4EC5-9062-AFA3743AA106}"/>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D086-4EC5-9062-AFA3743AA106}"/>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D086-4EC5-9062-AFA3743AA106}"/>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D086-4EC5-9062-AFA3743AA106}"/>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D086-4EC5-9062-AFA3743AA106}"/>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D086-4EC5-9062-AFA3743AA106}"/>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D086-4EC5-9062-AFA3743AA106}"/>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D086-4EC5-9062-AFA3743AA106}"/>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D086-4EC5-9062-AFA3743AA106}"/>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D086-4EC5-9062-AFA3743AA106}"/>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D086-4EC5-9062-AFA3743AA106}"/>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D086-4EC5-9062-AFA3743AA106}"/>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D086-4EC5-9062-AFA3743AA106}"/>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D086-4EC5-9062-AFA3743AA106}"/>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D086-4EC5-9062-AFA3743AA106}"/>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D086-4EC5-9062-AFA3743AA106}"/>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D086-4EC5-9062-AFA3743AA106}"/>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28575">
      <a:solidFill>
        <a:sysClr val="windowText" lastClr="000000"/>
      </a:solidFill>
    </a:ln>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D56-4374-94C8-4A89850FDA3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D56-4374-94C8-4A89850FDA3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D56-4374-94C8-4A89850FDA3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D56-4374-94C8-4A89850FDA3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D56-4374-94C8-4A89850FDA3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D56-4374-94C8-4A89850FDA3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D56-4374-94C8-4A89850FDA3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D56-4374-94C8-4A89850FDA3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D56-4374-94C8-4A89850FDA3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D56-4374-94C8-4A89850FDA3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D56-4374-94C8-4A89850FDA3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D56-4374-94C8-4A89850FDA3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3D56-4374-94C8-4A89850FDA3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3D56-4374-94C8-4A89850FDA3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3D56-4374-94C8-4A89850FDA3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3D56-4374-94C8-4A89850FDA3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3D56-4374-94C8-4A89850FDA3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3D56-4374-94C8-4A89850FDA3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3D56-4374-94C8-4A89850FDA3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3D56-4374-94C8-4A89850FDA3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3D56-4374-94C8-4A89850FDA3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3D56-4374-94C8-4A89850FDA3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3D56-4374-94C8-4A89850FDA3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3D56-4374-94C8-4A89850FDA3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3D56-4374-94C8-4A89850FDA3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3D56-4374-94C8-4A89850FDA3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3D56-4374-94C8-4A89850FDA3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3D56-4374-94C8-4A89850FDA3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2-2EF6-48BC-88A3-6D3420DA828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3-2EF6-48BC-88A3-6D3420DA828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4-2EF6-48BC-88A3-6D3420DA828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5-2EF6-48BC-88A3-6D3420DA828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7-2EF6-48BC-88A3-6D3420DA828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8-2EF6-48BC-88A3-6D3420DA828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9-2EF6-48BC-88A3-6D3420DA828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A-2EF6-48BC-88A3-6D3420DA828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B-2EF6-48BC-88A3-6D3420DA828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C-2EF6-48BC-88A3-6D3420DA828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D-2EF6-48BC-88A3-6D3420DA828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E-2EF6-48BC-88A3-6D3420DA828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F-2EF6-48BC-88A3-6D3420DA828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10-2EF6-48BC-88A3-6D3420DA828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11-2EF6-48BC-88A3-6D3420DA828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12-2EF6-48BC-88A3-6D3420DA828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3-2EF6-48BC-88A3-6D3420DA828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4-2EF6-48BC-88A3-6D3420DA828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5-2EF6-48BC-88A3-6D3420DA828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6-2EF6-48BC-88A3-6D3420DA828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7-2EF6-48BC-88A3-6D3420DA828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8-2EF6-48BC-88A3-6D3420DA828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00-4C7C-41AE-A259-5BE5BD8AD70D}"/>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9-2EF6-48BC-88A3-6D3420DA828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A-2EF6-48BC-88A3-6D3420DA828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B-2EF6-48BC-88A3-6D3420DA828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C-2EF6-48BC-88A3-6D3420DA828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D-2EF6-48BC-88A3-6D3420DA828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b"/>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it-IT"/>
          </a:p>
        </c:txPr>
        <c:crossAx val="145032540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34-D243-47DD-BC23-2C143A0A1D6B}"/>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35-D243-47DD-BC23-2C143A0A1D6B}"/>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36-D243-47DD-BC23-2C143A0A1D6B}"/>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37-D243-47DD-BC23-2C143A0A1D6B}"/>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38-D243-47DD-BC23-2C143A0A1D6B}"/>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39-D243-47DD-BC23-2C143A0A1D6B}"/>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3A-D243-47DD-BC23-2C143A0A1D6B}"/>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3B-D243-47DD-BC23-2C143A0A1D6B}"/>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3C-D243-47DD-BC23-2C143A0A1D6B}"/>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3D-D243-47DD-BC23-2C143A0A1D6B}"/>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3E-D243-47DD-BC23-2C143A0A1D6B}"/>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3F-D243-47DD-BC23-2C143A0A1D6B}"/>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1D-D243-47DD-BC23-2C143A0A1D6B}"/>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1F-D243-47DD-BC23-2C143A0A1D6B}"/>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21-D243-47DD-BC23-2C143A0A1D6B}"/>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23-D243-47DD-BC23-2C143A0A1D6B}"/>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25-D243-47DD-BC23-2C143A0A1D6B}"/>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27-D243-47DD-BC23-2C143A0A1D6B}"/>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29-D243-47DD-BC23-2C143A0A1D6B}"/>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2B-D243-47DD-BC23-2C143A0A1D6B}"/>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2D-D243-47DD-BC23-2C143A0A1D6B}"/>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2F-D243-47DD-BC23-2C143A0A1D6B}"/>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31-D243-47DD-BC23-2C143A0A1D6B}"/>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33-D243-47DD-BC23-2C143A0A1D6B}"/>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40-D243-47DD-BC23-2C143A0A1D6B}"/>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41-D243-47DD-BC23-2C143A0A1D6B}"/>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42-D243-47DD-BC23-2C143A0A1D6B}"/>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43-D243-47DD-BC23-2C143A0A1D6B}"/>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44-D243-47DD-BC23-2C143A0A1D6B}"/>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45-D243-47DD-BC23-2C143A0A1D6B}"/>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46-D243-47DD-BC23-2C143A0A1D6B}"/>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47-D243-47DD-BC23-2C143A0A1D6B}"/>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48-D243-47DD-BC23-2C143A0A1D6B}"/>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49-D243-47DD-BC23-2C143A0A1D6B}"/>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4A-D243-47DD-BC23-2C143A0A1D6B}"/>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00-424F-4C01-97C9-7039D9A3D8B2}"/>
            </c:ext>
          </c:extLst>
        </c:ser>
        <c:ser>
          <c:idx val="36"/>
          <c:order val="36"/>
          <c:tx>
            <c:v>F1</c:v>
          </c:tx>
          <c:spPr>
            <a:ln>
              <a:solidFill>
                <a:schemeClr val="tx1">
                  <a:lumMod val="75000"/>
                  <a:lumOff val="25000"/>
                </a:schemeClr>
              </a:solidFill>
            </a:ln>
          </c:spPr>
          <c:marker>
            <c:symbol val="circle"/>
            <c:size val="5"/>
            <c:spPr>
              <a:solidFill>
                <a:schemeClr val="bg1">
                  <a:lumMod val="85000"/>
                </a:schemeClr>
              </a:solidFill>
              <a:ln>
                <a:solidFill>
                  <a:schemeClr val="tx1">
                    <a:lumMod val="75000"/>
                    <a:lumOff val="25000"/>
                  </a:schemeClr>
                </a:solidFill>
              </a:ln>
            </c:spPr>
          </c:marker>
          <c:dPt>
            <c:idx val="0"/>
            <c:marker>
              <c:symbol val="circle"/>
              <c:size val="8"/>
            </c:marker>
            <c:bubble3D val="0"/>
            <c:extLst>
              <c:ext xmlns:c16="http://schemas.microsoft.com/office/drawing/2014/chart" uri="{C3380CC4-5D6E-409C-BE32-E72D297353CC}">
                <c16:uniqueId val="{00000001-FE85-4EE6-BA25-F8AD53F7CF64}"/>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00-FE85-4EE6-BA25-F8AD53F7CF64}"/>
            </c:ext>
          </c:extLst>
        </c:ser>
        <c:ser>
          <c:idx val="37"/>
          <c:order val="37"/>
          <c:tx>
            <c:v>F2</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02-FE85-4EE6-BA25-F8AD53F7CF64}"/>
            </c:ext>
          </c:extLst>
        </c:ser>
        <c:ser>
          <c:idx val="38"/>
          <c:order val="38"/>
          <c:tx>
            <c:v>F3</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03-FE85-4EE6-BA25-F8AD53F7CF64}"/>
            </c:ext>
          </c:extLst>
        </c:ser>
        <c:ser>
          <c:idx val="39"/>
          <c:order val="39"/>
          <c:tx>
            <c:v>F4</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04-FE85-4EE6-BA25-F8AD53F7CF64}"/>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b"/>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inMax"/>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93388429752067E-2"/>
          <c:y val="5.0764778473698972E-2"/>
          <c:w val="0.93939393939393945"/>
          <c:h val="0.89847044305260204"/>
        </c:manualLayout>
      </c:layout>
      <c:scatterChart>
        <c:scatterStyle val="lineMarker"/>
        <c:varyColors val="0"/>
        <c:ser>
          <c:idx val="0"/>
          <c:order val="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62C7-4BD3-892E-00F32D3D8B1C}"/>
            </c:ext>
          </c:extLst>
        </c:ser>
        <c:ser>
          <c:idx val="1"/>
          <c:order val="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62C7-4BD3-892E-00F32D3D8B1C}"/>
            </c:ext>
          </c:extLst>
        </c:ser>
        <c:ser>
          <c:idx val="2"/>
          <c:order val="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62C7-4BD3-892E-00F32D3D8B1C}"/>
            </c:ext>
          </c:extLst>
        </c:ser>
        <c:ser>
          <c:idx val="4"/>
          <c:order val="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4-62C7-4BD3-892E-00F32D3D8B1C}"/>
            </c:ext>
          </c:extLst>
        </c:ser>
        <c:ser>
          <c:idx val="3"/>
          <c:order val="4"/>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62C7-4BD3-892E-00F32D3D8B1C}"/>
            </c:ext>
          </c:extLst>
        </c:ser>
        <c:ser>
          <c:idx val="5"/>
          <c:order val="5"/>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0-4882-4FA7-8F40-48AD6DB5F956}"/>
            </c:ext>
          </c:extLst>
        </c:ser>
        <c:ser>
          <c:idx val="6"/>
          <c:order val="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1-4882-4FA7-8F40-48AD6DB5F956}"/>
            </c:ext>
          </c:extLst>
        </c:ser>
        <c:ser>
          <c:idx val="7"/>
          <c:order val="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3-4882-4FA7-8F40-48AD6DB5F956}"/>
            </c:ext>
          </c:extLst>
        </c:ser>
        <c:dLbls>
          <c:showLegendKey val="0"/>
          <c:showVal val="0"/>
          <c:showCatName val="0"/>
          <c:showSerName val="0"/>
          <c:showPercent val="0"/>
          <c:showBubbleSize val="0"/>
        </c:dLbls>
        <c:axId val="780359359"/>
        <c:axId val="780352159"/>
      </c:scatterChart>
      <c:valAx>
        <c:axId val="780359359"/>
        <c:scaling>
          <c:orientation val="minMax"/>
          <c:min val="-100"/>
        </c:scaling>
        <c:delete val="1"/>
        <c:axPos val="b"/>
        <c:numFmt formatCode="General" sourceLinked="1"/>
        <c:majorTickMark val="none"/>
        <c:minorTickMark val="none"/>
        <c:tickLblPos val="nextTo"/>
        <c:crossAx val="780352159"/>
        <c:crosses val="autoZero"/>
        <c:crossBetween val="midCat"/>
      </c:valAx>
      <c:valAx>
        <c:axId val="780352159"/>
        <c:scaling>
          <c:orientation val="minMax"/>
          <c:min val="-100"/>
        </c:scaling>
        <c:delete val="1"/>
        <c:axPos val="l"/>
        <c:numFmt formatCode="General" sourceLinked="1"/>
        <c:majorTickMark val="none"/>
        <c:minorTickMark val="none"/>
        <c:tickLblPos val="nextTo"/>
        <c:crossAx val="78035935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28"/><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36"/><Relationship Id="rId6" Type="http://schemas.openxmlformats.org/officeDocument/2006/relationships/image" Target="../media/image50.png"/><Relationship Id="rId5" Type="http://schemas.openxmlformats.org/officeDocument/2006/relationships/image" Target="../media/image56.png"/><Relationship Id="rId4" Type="http://schemas.openxmlformats.org/officeDocument/2006/relationships/image" Target="../media/image4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13" Type="http://schemas.openxmlformats.org/officeDocument/2006/relationships/image" Target="../media/image15.emf"/><Relationship Id="rId18" Type="http://schemas.openxmlformats.org/officeDocument/2006/relationships/image" Target="../media/image20.emf"/><Relationship Id="rId26" Type="http://schemas.openxmlformats.org/officeDocument/2006/relationships/image" Target="../media/image28.png"/><Relationship Id="rId3" Type="http://schemas.openxmlformats.org/officeDocument/2006/relationships/image" Target="../media/image8.emf"/><Relationship Id="rId21" Type="http://schemas.openxmlformats.org/officeDocument/2006/relationships/image" Target="../media/image23.emf"/><Relationship Id="rId7" Type="http://schemas.openxmlformats.org/officeDocument/2006/relationships/chart" Target="../charts/chart1.xml"/><Relationship Id="rId12" Type="http://schemas.openxmlformats.org/officeDocument/2006/relationships/image" Target="../media/image14.emf"/><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7.emf"/><Relationship Id="rId16" Type="http://schemas.openxmlformats.org/officeDocument/2006/relationships/image" Target="../media/image18.emf"/><Relationship Id="rId20" Type="http://schemas.openxmlformats.org/officeDocument/2006/relationships/image" Target="../media/image22.emf"/><Relationship Id="rId29" Type="http://schemas.openxmlformats.org/officeDocument/2006/relationships/image" Target="../media/image30.jpeg"/><Relationship Id="rId1" Type="http://schemas.openxmlformats.org/officeDocument/2006/relationships/image" Target="../media/image2.png"/><Relationship Id="rId6" Type="http://schemas.openxmlformats.org/officeDocument/2006/relationships/image" Target="../media/image11.emf"/><Relationship Id="rId11" Type="http://schemas.openxmlformats.org/officeDocument/2006/relationships/image" Target="../media/image13.emf"/><Relationship Id="rId24" Type="http://schemas.openxmlformats.org/officeDocument/2006/relationships/image" Target="../media/image26.png"/><Relationship Id="rId5" Type="http://schemas.openxmlformats.org/officeDocument/2006/relationships/image" Target="../media/image10.emf"/><Relationship Id="rId15" Type="http://schemas.openxmlformats.org/officeDocument/2006/relationships/image" Target="../media/image17.emf"/><Relationship Id="rId23" Type="http://schemas.openxmlformats.org/officeDocument/2006/relationships/image" Target="../media/image25.emf"/><Relationship Id="rId28" Type="http://schemas.openxmlformats.org/officeDocument/2006/relationships/image" Target="../media/image29.png"/><Relationship Id="rId10" Type="http://schemas.openxmlformats.org/officeDocument/2006/relationships/image" Target="../media/image12.emf"/><Relationship Id="rId19" Type="http://schemas.openxmlformats.org/officeDocument/2006/relationships/image" Target="../media/image21.emf"/><Relationship Id="rId4" Type="http://schemas.openxmlformats.org/officeDocument/2006/relationships/image" Target="../media/image9.emf"/><Relationship Id="rId9" Type="http://schemas.openxmlformats.org/officeDocument/2006/relationships/chart" Target="../charts/chart3.xml"/><Relationship Id="rId14" Type="http://schemas.openxmlformats.org/officeDocument/2006/relationships/image" Target="../media/image16.emf"/><Relationship Id="rId22" Type="http://schemas.openxmlformats.org/officeDocument/2006/relationships/image" Target="../media/image24.emf"/><Relationship Id="rId27"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hyperlink" Target="#GEOMETRY!H9"/><Relationship Id="rId1" Type="http://schemas.openxmlformats.org/officeDocument/2006/relationships/image" Target="../media/image49.png"/></Relationships>
</file>

<file path=xl/drawings/_rels/drawing5.xml.rels><?xml version="1.0" encoding="UTF-8" standalone="yes"?>
<Relationships xmlns="http://schemas.openxmlformats.org/package/2006/relationships"><Relationship Id="rId8" Type="http://schemas.openxmlformats.org/officeDocument/2006/relationships/hyperlink" Target="#SCREWS!B4"/><Relationship Id="rId13" Type="http://schemas.openxmlformats.org/officeDocument/2006/relationships/image" Target="../media/image51.png"/><Relationship Id="rId18" Type="http://schemas.openxmlformats.org/officeDocument/2006/relationships/image" Target="../media/image29.png"/><Relationship Id="rId3" Type="http://schemas.openxmlformats.org/officeDocument/2006/relationships/image" Target="../media/image49.png"/><Relationship Id="rId7" Type="http://schemas.openxmlformats.org/officeDocument/2006/relationships/chart" Target="../charts/chart6.xml"/><Relationship Id="rId12" Type="http://schemas.openxmlformats.org/officeDocument/2006/relationships/hyperlink" Target="#'CALCOLI STS (slab to slab)'!I70"/><Relationship Id="rId17" Type="http://schemas.openxmlformats.org/officeDocument/2006/relationships/image" Target="../media/image28.png"/><Relationship Id="rId2" Type="http://schemas.openxmlformats.org/officeDocument/2006/relationships/image" Target="../media/image50.png"/><Relationship Id="rId16" Type="http://schemas.openxmlformats.org/officeDocument/2006/relationships/image" Target="../media/image26.png"/><Relationship Id="rId20" Type="http://schemas.openxmlformats.org/officeDocument/2006/relationships/image" Target="../media/image30.jpeg"/><Relationship Id="rId1" Type="http://schemas.openxmlformats.org/officeDocument/2006/relationships/image" Target="../media/image4.png"/><Relationship Id="rId6" Type="http://schemas.openxmlformats.org/officeDocument/2006/relationships/chart" Target="../charts/chart5.xml"/><Relationship Id="rId11" Type="http://schemas.openxmlformats.org/officeDocument/2006/relationships/hyperlink" Target="#CLT!E4"/><Relationship Id="rId5" Type="http://schemas.openxmlformats.org/officeDocument/2006/relationships/chart" Target="../charts/chart4.xml"/><Relationship Id="rId15" Type="http://schemas.openxmlformats.org/officeDocument/2006/relationships/image" Target="../media/image53.png"/><Relationship Id="rId10" Type="http://schemas.openxmlformats.org/officeDocument/2006/relationships/hyperlink" Target="#'CLT EDGE DISTANCE'!B4"/><Relationship Id="rId19" Type="http://schemas.openxmlformats.org/officeDocument/2006/relationships/image" Target="../media/image54.png"/><Relationship Id="rId4" Type="http://schemas.openxmlformats.org/officeDocument/2006/relationships/image" Target="../media/image2.png"/><Relationship Id="rId9" Type="http://schemas.openxmlformats.org/officeDocument/2006/relationships/hyperlink" Target="#CONCRETE!B4"/><Relationship Id="rId14" Type="http://schemas.openxmlformats.org/officeDocument/2006/relationships/image" Target="../media/image52.png"/></Relationships>
</file>

<file path=xl/drawings/_rels/drawing7.xml.rels><?xml version="1.0" encoding="UTF-8" standalone="yes"?>
<Relationships xmlns="http://schemas.openxmlformats.org/package/2006/relationships"><Relationship Id="rId8" Type="http://schemas.openxmlformats.org/officeDocument/2006/relationships/hyperlink" Target="#CLT!E4"/><Relationship Id="rId3" Type="http://schemas.openxmlformats.org/officeDocument/2006/relationships/hyperlink" Target="#SCREWS!B4"/><Relationship Id="rId7" Type="http://schemas.openxmlformats.org/officeDocument/2006/relationships/image" Target="../media/image4.png"/><Relationship Id="rId12" Type="http://schemas.openxmlformats.org/officeDocument/2006/relationships/image" Target="../media/image52.png"/><Relationship Id="rId2" Type="http://schemas.openxmlformats.org/officeDocument/2006/relationships/hyperlink" Target="#GEOMETRY!H9"/><Relationship Id="rId1" Type="http://schemas.openxmlformats.org/officeDocument/2006/relationships/image" Target="../media/image49.png"/><Relationship Id="rId6" Type="http://schemas.openxmlformats.org/officeDocument/2006/relationships/image" Target="../media/image50.png"/><Relationship Id="rId11" Type="http://schemas.openxmlformats.org/officeDocument/2006/relationships/image" Target="../media/image51.png"/><Relationship Id="rId5" Type="http://schemas.openxmlformats.org/officeDocument/2006/relationships/hyperlink" Target="#'CLT EDGE DISTANCE'!B4"/><Relationship Id="rId10" Type="http://schemas.openxmlformats.org/officeDocument/2006/relationships/image" Target="../media/image27.png"/><Relationship Id="rId4" Type="http://schemas.openxmlformats.org/officeDocument/2006/relationships/hyperlink" Target="#CONCRETE!B4"/><Relationship Id="rId9" Type="http://schemas.openxmlformats.org/officeDocument/2006/relationships/image" Target="../media/image19.png"/></Relationships>
</file>

<file path=xl/drawings/_rels/drawing8.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51"/><Relationship Id="rId5" Type="http://schemas.openxmlformats.org/officeDocument/2006/relationships/image" Target="../media/image5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51"/><Relationship Id="rId4" Type="http://schemas.openxmlformats.org/officeDocument/2006/relationships/image" Target="../media/image4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8.emf"/><Relationship Id="rId13" Type="http://schemas.openxmlformats.org/officeDocument/2006/relationships/image" Target="../media/image43.emf"/><Relationship Id="rId18" Type="http://schemas.openxmlformats.org/officeDocument/2006/relationships/image" Target="../media/image48.emf"/><Relationship Id="rId3" Type="http://schemas.openxmlformats.org/officeDocument/2006/relationships/image" Target="../media/image33.emf"/><Relationship Id="rId7" Type="http://schemas.openxmlformats.org/officeDocument/2006/relationships/image" Target="../media/image37.emf"/><Relationship Id="rId12" Type="http://schemas.openxmlformats.org/officeDocument/2006/relationships/image" Target="../media/image42.emf"/><Relationship Id="rId17" Type="http://schemas.openxmlformats.org/officeDocument/2006/relationships/image" Target="../media/image47.emf"/><Relationship Id="rId2" Type="http://schemas.openxmlformats.org/officeDocument/2006/relationships/image" Target="../media/image32.emf"/><Relationship Id="rId16" Type="http://schemas.openxmlformats.org/officeDocument/2006/relationships/image" Target="../media/image46.emf"/><Relationship Id="rId1" Type="http://schemas.openxmlformats.org/officeDocument/2006/relationships/image" Target="../media/image31.emf"/><Relationship Id="rId6" Type="http://schemas.openxmlformats.org/officeDocument/2006/relationships/image" Target="../media/image36.emf"/><Relationship Id="rId11" Type="http://schemas.openxmlformats.org/officeDocument/2006/relationships/image" Target="../media/image41.emf"/><Relationship Id="rId5" Type="http://schemas.openxmlformats.org/officeDocument/2006/relationships/image" Target="../media/image35.emf"/><Relationship Id="rId15" Type="http://schemas.openxmlformats.org/officeDocument/2006/relationships/image" Target="../media/image45.emf"/><Relationship Id="rId10" Type="http://schemas.openxmlformats.org/officeDocument/2006/relationships/image" Target="../media/image40.emf"/><Relationship Id="rId4" Type="http://schemas.openxmlformats.org/officeDocument/2006/relationships/image" Target="../media/image34.emf"/><Relationship Id="rId9" Type="http://schemas.openxmlformats.org/officeDocument/2006/relationships/image" Target="../media/image39.emf"/><Relationship Id="rId14"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B9043CD4-9B25-450D-44A9-0916ADED0DA4}"/>
                </a:ext>
              </a:extLst>
            </xdr:cNvPr>
            <xdr:cNvPicPr>
              <a:picLocks noChangeAspect="1" noChangeArrowheads="1"/>
              <a:extLst>
                <a:ext uri="{84589F7E-364E-4C9E-8A38-B11213B215E9}">
                  <a14:cameraTool cellRange="GEOMETRY!$D$2:$K$6" spid="_x0000_s19418"/>
                </a:ext>
              </a:extLst>
            </xdr:cNvPicPr>
          </xdr:nvPicPr>
          <xdr:blipFill>
            <a:blip xmlns:r="http://schemas.openxmlformats.org/officeDocument/2006/relationships" r:embed="rId1"/>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590550</xdr:colOff>
      <xdr:row>5</xdr:row>
      <xdr:rowOff>38100</xdr:rowOff>
    </xdr:from>
    <xdr:to>
      <xdr:col>14</xdr:col>
      <xdr:colOff>262065</xdr:colOff>
      <xdr:row>22</xdr:row>
      <xdr:rowOff>98072</xdr:rowOff>
    </xdr:to>
    <xdr:pic>
      <xdr:nvPicPr>
        <xdr:cNvPr id="6" name="tcfusion" descr="Immagine che contiene letto, legname&#10;&#10;Descrizione generata automaticamente">
          <a:extLst>
            <a:ext uri="{FF2B5EF4-FFF2-40B4-BE49-F238E27FC236}">
              <a16:creationId xmlns:a16="http://schemas.microsoft.com/office/drawing/2014/main" id="{BEBF03FF-E5BA-4771-B9A1-1DC4291FEC8C}"/>
            </a:ext>
          </a:extLst>
        </xdr:cNvPr>
        <xdr:cNvPicPr>
          <a:picLocks noChangeAspect="1"/>
        </xdr:cNvPicPr>
      </xdr:nvPicPr>
      <xdr:blipFill>
        <a:blip xmlns:r="http://schemas.openxmlformats.org/officeDocument/2006/relationships" r:embed="rId2"/>
        <a:stretch>
          <a:fillRect/>
        </a:stretch>
      </xdr:blipFill>
      <xdr:spPr>
        <a:xfrm>
          <a:off x="3333750" y="847725"/>
          <a:ext cx="6529515"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20</xdr:col>
          <xdr:colOff>0</xdr:colOff>
          <xdr:row>124</xdr:row>
          <xdr:rowOff>38100</xdr:rowOff>
        </xdr:to>
        <xdr:pic>
          <xdr:nvPicPr>
            <xdr:cNvPr id="7" name="Immagine 6">
              <a:extLst>
                <a:ext uri="{FF2B5EF4-FFF2-40B4-BE49-F238E27FC236}">
                  <a16:creationId xmlns:a16="http://schemas.microsoft.com/office/drawing/2014/main" id="{7E51FB75-DA81-D441-7486-B98FDAA1C034}"/>
                </a:ext>
              </a:extLst>
            </xdr:cNvPr>
            <xdr:cNvPicPr>
              <a:picLocks noChangeAspect="1" noChangeArrowheads="1"/>
              <a:extLst>
                <a:ext uri="{84589F7E-364E-4C9E-8A38-B11213B215E9}">
                  <a14:cameraTool cellRange="GEOMETRY!$D$8:$K$95" spid="_x0000_s19419"/>
                </a:ext>
              </a:extLst>
            </xdr:cNvPicPr>
          </xdr:nvPicPr>
          <xdr:blipFill>
            <a:blip xmlns:r="http://schemas.openxmlformats.org/officeDocument/2006/relationships" r:embed="rId3"/>
            <a:srcRect/>
            <a:stretch>
              <a:fillRect/>
            </a:stretch>
          </xdr:blipFill>
          <xdr:spPr bwMode="auto">
            <a:xfrm>
              <a:off x="0" y="3724275"/>
              <a:ext cx="13201650" cy="16392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2</xdr:col>
      <xdr:colOff>180975</xdr:colOff>
      <xdr:row>134</xdr:row>
      <xdr:rowOff>19050</xdr:rowOff>
    </xdr:from>
    <xdr:to>
      <xdr:col>17</xdr:col>
      <xdr:colOff>229</xdr:colOff>
      <xdr:row>140</xdr:row>
      <xdr:rowOff>60109</xdr:rowOff>
    </xdr:to>
    <xdr:pic>
      <xdr:nvPicPr>
        <xdr:cNvPr id="8" name="Immagine 7">
          <a:extLst>
            <a:ext uri="{FF2B5EF4-FFF2-40B4-BE49-F238E27FC236}">
              <a16:creationId xmlns:a16="http://schemas.microsoft.com/office/drawing/2014/main" id="{EC3B7878-7C5C-4D0A-84AA-04DB611366EE}"/>
            </a:ext>
          </a:extLst>
        </xdr:cNvPr>
        <xdr:cNvPicPr>
          <a:picLocks noChangeAspect="1"/>
        </xdr:cNvPicPr>
      </xdr:nvPicPr>
      <xdr:blipFill>
        <a:blip xmlns:r="http://schemas.openxmlformats.org/officeDocument/2006/relationships" r:embed="rId4"/>
        <a:stretch>
          <a:fillRect/>
        </a:stretch>
      </xdr:blipFill>
      <xdr:spPr>
        <a:xfrm>
          <a:off x="1552575" y="61321950"/>
          <a:ext cx="10106254" cy="1012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3</xdr:row>
      <xdr:rowOff>0</xdr:rowOff>
    </xdr:from>
    <xdr:to>
      <xdr:col>8</xdr:col>
      <xdr:colOff>428400</xdr:colOff>
      <xdr:row>5</xdr:row>
      <xdr:rowOff>87000</xdr:rowOff>
    </xdr:to>
    <xdr:sp macro="" textlink="">
      <xdr:nvSpPr>
        <xdr:cNvPr id="4" name="Rettangolo con angoli arrotondati 3">
          <a:hlinkClick xmlns:r="http://schemas.openxmlformats.org/officeDocument/2006/relationships" r:id="rId1"/>
          <a:extLst>
            <a:ext uri="{FF2B5EF4-FFF2-40B4-BE49-F238E27FC236}">
              <a16:creationId xmlns:a16="http://schemas.microsoft.com/office/drawing/2014/main" id="{BE2B7B40-9270-4E74-B74C-3ED90C78620E}"/>
            </a:ext>
          </a:extLst>
        </xdr:cNvPr>
        <xdr:cNvSpPr/>
      </xdr:nvSpPr>
      <xdr:spPr>
        <a:xfrm>
          <a:off x="58388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9</xdr:col>
      <xdr:colOff>0</xdr:colOff>
      <xdr:row>3</xdr:row>
      <xdr:rowOff>0</xdr:rowOff>
    </xdr:from>
    <xdr:to>
      <xdr:col>11</xdr:col>
      <xdr:colOff>428400</xdr:colOff>
      <xdr:row>5</xdr:row>
      <xdr:rowOff>87000</xdr:rowOff>
    </xdr:to>
    <xdr:sp macro="" textlink="">
      <xdr:nvSpPr>
        <xdr:cNvPr id="5" name="Rettangolo con angoli arrotondati 4">
          <a:hlinkClick xmlns:r="http://schemas.openxmlformats.org/officeDocument/2006/relationships" r:id="rId2"/>
          <a:extLst>
            <a:ext uri="{FF2B5EF4-FFF2-40B4-BE49-F238E27FC236}">
              <a16:creationId xmlns:a16="http://schemas.microsoft.com/office/drawing/2014/main" id="{5579D78B-8011-445D-A408-906C5A76AC30}"/>
            </a:ext>
          </a:extLst>
        </xdr:cNvPr>
        <xdr:cNvSpPr/>
      </xdr:nvSpPr>
      <xdr:spPr>
        <a:xfrm>
          <a:off x="78962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13</xdr:col>
      <xdr:colOff>0</xdr:colOff>
      <xdr:row>2</xdr:row>
      <xdr:rowOff>0</xdr:rowOff>
    </xdr:from>
    <xdr:to>
      <xdr:col>15</xdr:col>
      <xdr:colOff>429223</xdr:colOff>
      <xdr:row>6</xdr:row>
      <xdr:rowOff>49814</xdr:rowOff>
    </xdr:to>
    <xdr:pic>
      <xdr:nvPicPr>
        <xdr:cNvPr id="7" name="Immagine 6">
          <a:extLst>
            <a:ext uri="{FF2B5EF4-FFF2-40B4-BE49-F238E27FC236}">
              <a16:creationId xmlns:a16="http://schemas.microsoft.com/office/drawing/2014/main" id="{566CC8F5-ED38-4392-BD95-653B7807B125}"/>
            </a:ext>
          </a:extLst>
        </xdr:cNvPr>
        <xdr:cNvPicPr>
          <a:picLocks noChangeAspect="1"/>
        </xdr:cNvPicPr>
      </xdr:nvPicPr>
      <xdr:blipFill rotWithShape="1">
        <a:blip xmlns:r="http://schemas.openxmlformats.org/officeDocument/2006/relationships" r:embed="rId3"/>
        <a:srcRect l="7792" t="6154" r="5195" b="7679"/>
        <a:stretch/>
      </xdr:blipFill>
      <xdr:spPr>
        <a:xfrm>
          <a:off x="10639425" y="381000"/>
          <a:ext cx="1800823" cy="811814"/>
        </a:xfrm>
        <a:prstGeom prst="rect">
          <a:avLst/>
        </a:prstGeom>
      </xdr:spPr>
    </xdr:pic>
    <xdr:clientData/>
  </xdr:twoCellAnchor>
  <xdr:twoCellAnchor editAs="oneCell">
    <xdr:from>
      <xdr:col>4</xdr:col>
      <xdr:colOff>0</xdr:colOff>
      <xdr:row>78</xdr:row>
      <xdr:rowOff>0</xdr:rowOff>
    </xdr:from>
    <xdr:to>
      <xdr:col>14</xdr:col>
      <xdr:colOff>505054</xdr:colOff>
      <xdr:row>83</xdr:row>
      <xdr:rowOff>60109</xdr:rowOff>
    </xdr:to>
    <xdr:pic>
      <xdr:nvPicPr>
        <xdr:cNvPr id="3" name="Immagine 2">
          <a:extLst>
            <a:ext uri="{FF2B5EF4-FFF2-40B4-BE49-F238E27FC236}">
              <a16:creationId xmlns:a16="http://schemas.microsoft.com/office/drawing/2014/main" id="{D72D5B65-86C8-44D8-A326-13521779A58E}"/>
            </a:ext>
          </a:extLst>
        </xdr:cNvPr>
        <xdr:cNvPicPr>
          <a:picLocks noChangeAspect="1"/>
        </xdr:cNvPicPr>
      </xdr:nvPicPr>
      <xdr:blipFill>
        <a:blip xmlns:r="http://schemas.openxmlformats.org/officeDocument/2006/relationships" r:embed="rId4"/>
        <a:stretch>
          <a:fillRect/>
        </a:stretch>
      </xdr:blipFill>
      <xdr:spPr>
        <a:xfrm>
          <a:off x="685800" y="14859000"/>
          <a:ext cx="10106254" cy="10126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18825</xdr:colOff>
      <xdr:row>5</xdr:row>
      <xdr:rowOff>87000</xdr:rowOff>
    </xdr:to>
    <xdr:sp macro="" textlink="">
      <xdr:nvSpPr>
        <xdr:cNvPr id="14" name="Rettangolo con angoli arrotondati 13">
          <a:hlinkClick xmlns:r="http://schemas.openxmlformats.org/officeDocument/2006/relationships" r:id="rId1"/>
          <a:extLst>
            <a:ext uri="{FF2B5EF4-FFF2-40B4-BE49-F238E27FC236}">
              <a16:creationId xmlns:a16="http://schemas.microsoft.com/office/drawing/2014/main" id="{A61A2B71-754F-4392-9420-FBEE937CFFAE}"/>
            </a:ext>
          </a:extLst>
        </xdr:cNvPr>
        <xdr:cNvSpPr/>
      </xdr:nvSpPr>
      <xdr:spPr>
        <a:xfrm>
          <a:off x="32480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276225</xdr:colOff>
      <xdr:row>3</xdr:row>
      <xdr:rowOff>0</xdr:rowOff>
    </xdr:from>
    <xdr:to>
      <xdr:col>9</xdr:col>
      <xdr:colOff>18825</xdr:colOff>
      <xdr:row>5</xdr:row>
      <xdr:rowOff>87000</xdr:rowOff>
    </xdr:to>
    <xdr:sp macro="" textlink="">
      <xdr:nvSpPr>
        <xdr:cNvPr id="15" name="Rettangolo con angoli arrotondati 14">
          <a:hlinkClick xmlns:r="http://schemas.openxmlformats.org/officeDocument/2006/relationships" r:id="rId2"/>
          <a:extLst>
            <a:ext uri="{FF2B5EF4-FFF2-40B4-BE49-F238E27FC236}">
              <a16:creationId xmlns:a16="http://schemas.microsoft.com/office/drawing/2014/main" id="{584AC758-73B9-4407-93BB-D6450302501F}"/>
            </a:ext>
          </a:extLst>
        </xdr:cNvPr>
        <xdr:cNvSpPr/>
      </xdr:nvSpPr>
      <xdr:spPr>
        <a:xfrm>
          <a:off x="5305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57</xdr:row>
      <xdr:rowOff>0</xdr:rowOff>
    </xdr:from>
    <xdr:to>
      <xdr:col>14</xdr:col>
      <xdr:colOff>150468</xdr:colOff>
      <xdr:row>62</xdr:row>
      <xdr:rowOff>51945</xdr:rowOff>
    </xdr:to>
    <xdr:pic>
      <xdr:nvPicPr>
        <xdr:cNvPr id="16" name="Immagine 15">
          <a:extLst>
            <a:ext uri="{FF2B5EF4-FFF2-40B4-BE49-F238E27FC236}">
              <a16:creationId xmlns:a16="http://schemas.microsoft.com/office/drawing/2014/main" id="{D587017C-6461-4B51-9E07-BBDE67E9C3D0}"/>
            </a:ext>
          </a:extLst>
        </xdr:cNvPr>
        <xdr:cNvPicPr>
          <a:picLocks noChangeAspect="1"/>
        </xdr:cNvPicPr>
      </xdr:nvPicPr>
      <xdr:blipFill>
        <a:blip xmlns:r="http://schemas.openxmlformats.org/officeDocument/2006/relationships" r:embed="rId3"/>
        <a:stretch>
          <a:fillRect/>
        </a:stretch>
      </xdr:blipFill>
      <xdr:spPr>
        <a:xfrm>
          <a:off x="685800" y="10668000"/>
          <a:ext cx="10082241" cy="1004445"/>
        </a:xfrm>
        <a:prstGeom prst="rect">
          <a:avLst/>
        </a:prstGeom>
      </xdr:spPr>
    </xdr:pic>
    <xdr:clientData/>
  </xdr:twoCellAnchor>
  <xdr:twoCellAnchor editAs="oneCell">
    <xdr:from>
      <xdr:col>10</xdr:col>
      <xdr:colOff>0</xdr:colOff>
      <xdr:row>2</xdr:row>
      <xdr:rowOff>0</xdr:rowOff>
    </xdr:from>
    <xdr:to>
      <xdr:col>12</xdr:col>
      <xdr:colOff>372072</xdr:colOff>
      <xdr:row>6</xdr:row>
      <xdr:rowOff>49814</xdr:rowOff>
    </xdr:to>
    <xdr:pic>
      <xdr:nvPicPr>
        <xdr:cNvPr id="17" name="Immagine 16">
          <a:extLst>
            <a:ext uri="{FF2B5EF4-FFF2-40B4-BE49-F238E27FC236}">
              <a16:creationId xmlns:a16="http://schemas.microsoft.com/office/drawing/2014/main" id="{D9844AC4-946C-4BCA-9D1E-00B5F74EA67B}"/>
            </a:ext>
          </a:extLst>
        </xdr:cNvPr>
        <xdr:cNvPicPr>
          <a:picLocks noChangeAspect="1"/>
        </xdr:cNvPicPr>
      </xdr:nvPicPr>
      <xdr:blipFill rotWithShape="1">
        <a:blip xmlns:r="http://schemas.openxmlformats.org/officeDocument/2006/relationships" r:embed="rId4"/>
        <a:srcRect l="7792" t="6154" r="5195" b="7679"/>
        <a:stretch/>
      </xdr:blipFill>
      <xdr:spPr>
        <a:xfrm>
          <a:off x="7772400" y="381000"/>
          <a:ext cx="1800823" cy="811814"/>
        </a:xfrm>
        <a:prstGeom prst="rect">
          <a:avLst/>
        </a:prstGeom>
      </xdr:spPr>
    </xdr:pic>
    <xdr:clientData/>
  </xdr:twoCellAnchor>
  <xdr:twoCellAnchor editAs="oneCell">
    <xdr:from>
      <xdr:col>2</xdr:col>
      <xdr:colOff>16671</xdr:colOff>
      <xdr:row>29</xdr:row>
      <xdr:rowOff>51196</xdr:rowOff>
    </xdr:from>
    <xdr:to>
      <xdr:col>11</xdr:col>
      <xdr:colOff>28097</xdr:colOff>
      <xdr:row>32</xdr:row>
      <xdr:rowOff>71722</xdr:rowOff>
    </xdr:to>
    <xdr:pic>
      <xdr:nvPicPr>
        <xdr:cNvPr id="3" name="BondConversion" hidden="1">
          <a:extLst>
            <a:ext uri="{FF2B5EF4-FFF2-40B4-BE49-F238E27FC236}">
              <a16:creationId xmlns:a16="http://schemas.microsoft.com/office/drawing/2014/main" id="{3AF9F2FF-47A2-DBA3-40D5-5029C8FA80C4}"/>
            </a:ext>
          </a:extLst>
        </xdr:cNvPr>
        <xdr:cNvPicPr>
          <a:picLocks noChangeAspect="1"/>
        </xdr:cNvPicPr>
      </xdr:nvPicPr>
      <xdr:blipFill>
        <a:blip xmlns:r="http://schemas.openxmlformats.org/officeDocument/2006/relationships" r:embed="rId5"/>
        <a:stretch>
          <a:fillRect/>
        </a:stretch>
      </xdr:blipFill>
      <xdr:spPr>
        <a:xfrm>
          <a:off x="1385890" y="5575696"/>
          <a:ext cx="7191665" cy="592026"/>
        </a:xfrm>
        <a:prstGeom prst="rect">
          <a:avLst/>
        </a:prstGeom>
        <a:ln w="19050">
          <a:solidFill>
            <a:sysClr val="windowText" lastClr="000000"/>
          </a:solidFill>
        </a:ln>
      </xdr:spPr>
    </xdr:pic>
    <xdr:clientData/>
  </xdr:twoCellAnchor>
  <xdr:twoCellAnchor editAs="oneCell">
    <xdr:from>
      <xdr:col>1</xdr:col>
      <xdr:colOff>419100</xdr:colOff>
      <xdr:row>32</xdr:row>
      <xdr:rowOff>161925</xdr:rowOff>
    </xdr:from>
    <xdr:to>
      <xdr:col>1</xdr:col>
      <xdr:colOff>632478</xdr:colOff>
      <xdr:row>34</xdr:row>
      <xdr:rowOff>14945</xdr:rowOff>
    </xdr:to>
    <xdr:pic macro="[0]!ConversionBondStrength">
      <xdr:nvPicPr>
        <xdr:cNvPr id="4" name="Immagine 3">
          <a:extLst>
            <a:ext uri="{FF2B5EF4-FFF2-40B4-BE49-F238E27FC236}">
              <a16:creationId xmlns:a16="http://schemas.microsoft.com/office/drawing/2014/main" id="{22D8A84F-F7AD-43A3-8F3B-305F8C4AAA30}"/>
            </a:ext>
          </a:extLst>
        </xdr:cNvPr>
        <xdr:cNvPicPr>
          <a:picLocks noChangeAspect="1"/>
        </xdr:cNvPicPr>
      </xdr:nvPicPr>
      <xdr:blipFill>
        <a:blip xmlns:r="http://schemas.openxmlformats.org/officeDocument/2006/relationships" r:embed="rId6"/>
        <a:stretch>
          <a:fillRect/>
        </a:stretch>
      </xdr:blipFill>
      <xdr:spPr>
        <a:xfrm>
          <a:off x="1104900" y="6257925"/>
          <a:ext cx="213378" cy="2340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70037</xdr:colOff>
      <xdr:row>13</xdr:row>
      <xdr:rowOff>108696</xdr:rowOff>
    </xdr:from>
    <xdr:to>
      <xdr:col>27</xdr:col>
      <xdr:colOff>527237</xdr:colOff>
      <xdr:row>31</xdr:row>
      <xdr:rowOff>99172</xdr:rowOff>
    </xdr:to>
    <xdr:graphicFrame macro="">
      <xdr:nvGraphicFramePr>
        <xdr:cNvPr id="3" name="Grafico 2">
          <a:extLst>
            <a:ext uri="{FF2B5EF4-FFF2-40B4-BE49-F238E27FC236}">
              <a16:creationId xmlns:a16="http://schemas.microsoft.com/office/drawing/2014/main" id="{738E2123-197D-C328-7898-C43F20C192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685799</xdr:colOff>
      <xdr:row>38</xdr:row>
      <xdr:rowOff>0</xdr:rowOff>
    </xdr:from>
    <xdr:to>
      <xdr:col>33</xdr:col>
      <xdr:colOff>200025</xdr:colOff>
      <xdr:row>55</xdr:row>
      <xdr:rowOff>152400</xdr:rowOff>
    </xdr:to>
    <xdr:graphicFrame macro="">
      <xdr:nvGraphicFramePr>
        <xdr:cNvPr id="4" name="Grafico 3">
          <a:extLst>
            <a:ext uri="{FF2B5EF4-FFF2-40B4-BE49-F238E27FC236}">
              <a16:creationId xmlns:a16="http://schemas.microsoft.com/office/drawing/2014/main" id="{0AE01C95-7653-42E7-96C8-AD8850528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326572</xdr:colOff>
      <xdr:row>10</xdr:row>
      <xdr:rowOff>16329</xdr:rowOff>
    </xdr:from>
    <xdr:to>
      <xdr:col>35</xdr:col>
      <xdr:colOff>136072</xdr:colOff>
      <xdr:row>26</xdr:row>
      <xdr:rowOff>146957</xdr:rowOff>
    </xdr:to>
    <xdr:graphicFrame macro="">
      <xdr:nvGraphicFramePr>
        <xdr:cNvPr id="5" name="Grafico 4">
          <a:extLst>
            <a:ext uri="{FF2B5EF4-FFF2-40B4-BE49-F238E27FC236}">
              <a16:creationId xmlns:a16="http://schemas.microsoft.com/office/drawing/2014/main" id="{C072F008-8604-A455-6EDE-C3E38C380A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600075</xdr:colOff>
      <xdr:row>6</xdr:row>
      <xdr:rowOff>28575</xdr:rowOff>
    </xdr:from>
    <xdr:to>
      <xdr:col>14</xdr:col>
      <xdr:colOff>271589</xdr:colOff>
      <xdr:row>23</xdr:row>
      <xdr:rowOff>88547</xdr:rowOff>
    </xdr:to>
    <xdr:pic>
      <xdr:nvPicPr>
        <xdr:cNvPr id="2" name="tcfusion" descr="Immagine che contiene Blocco di legno, scatola, design, arredo&#10;&#10;Descrizione generata automaticamente">
          <a:extLst>
            <a:ext uri="{FF2B5EF4-FFF2-40B4-BE49-F238E27FC236}">
              <a16:creationId xmlns:a16="http://schemas.microsoft.com/office/drawing/2014/main" id="{1B642A9E-2E31-4F1B-8BD9-5A5B13982E15}"/>
            </a:ext>
          </a:extLst>
        </xdr:cNvPr>
        <xdr:cNvPicPr>
          <a:picLocks noChangeAspect="1"/>
        </xdr:cNvPicPr>
      </xdr:nvPicPr>
      <xdr:blipFill>
        <a:blip xmlns:r="http://schemas.openxmlformats.org/officeDocument/2006/relationships" r:embed="rId1"/>
        <a:stretch>
          <a:fillRect/>
        </a:stretch>
      </xdr:blipFill>
      <xdr:spPr>
        <a:xfrm>
          <a:off x="3343275" y="1000125"/>
          <a:ext cx="6529514"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913C5526-A2D7-A9EB-3C02-DA3ED80DA579}"/>
                </a:ext>
              </a:extLst>
            </xdr:cNvPr>
            <xdr:cNvPicPr>
              <a:picLocks noChangeAspect="1" noChangeArrowheads="1"/>
              <a:extLst>
                <a:ext uri="{84589F7E-364E-4C9E-8A38-B11213B215E9}">
                  <a14:cameraTool cellRange="GEOMETRY!$D$2:$K$6" spid="_x0000_s29861"/>
                </a:ext>
              </a:extLst>
            </xdr:cNvPicPr>
          </xdr:nvPicPr>
          <xdr:blipFill>
            <a:blip xmlns:r="http://schemas.openxmlformats.org/officeDocument/2006/relationships" r:embed="rId2"/>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114300</xdr:rowOff>
        </xdr:from>
        <xdr:to>
          <xdr:col>20</xdr:col>
          <xdr:colOff>0</xdr:colOff>
          <xdr:row>47</xdr:row>
          <xdr:rowOff>19050</xdr:rowOff>
        </xdr:to>
        <xdr:pic>
          <xdr:nvPicPr>
            <xdr:cNvPr id="6" name="Immagine 5">
              <a:extLst>
                <a:ext uri="{FF2B5EF4-FFF2-40B4-BE49-F238E27FC236}">
                  <a16:creationId xmlns:a16="http://schemas.microsoft.com/office/drawing/2014/main" id="{5FBC22AA-61C1-FC81-79F5-F94E48F67C4D}"/>
                </a:ext>
              </a:extLst>
            </xdr:cNvPr>
            <xdr:cNvPicPr>
              <a:picLocks noChangeAspect="1" noChangeArrowheads="1"/>
              <a:extLst>
                <a:ext uri="{84589F7E-364E-4C9E-8A38-B11213B215E9}">
                  <a14:cameraTool cellRange="GEOMETRY!$D$8:$K$28" spid="_x0000_s29862"/>
                </a:ext>
              </a:extLst>
            </xdr:cNvPicPr>
          </xdr:nvPicPr>
          <xdr:blipFill>
            <a:blip xmlns:r="http://schemas.openxmlformats.org/officeDocument/2006/relationships" r:embed="rId3"/>
            <a:srcRect/>
            <a:stretch>
              <a:fillRect/>
            </a:stretch>
          </xdr:blipFill>
          <xdr:spPr bwMode="auto">
            <a:xfrm>
              <a:off x="0" y="4000500"/>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20</xdr:col>
          <xdr:colOff>0</xdr:colOff>
          <xdr:row>81</xdr:row>
          <xdr:rowOff>19050</xdr:rowOff>
        </xdr:to>
        <xdr:pic>
          <xdr:nvPicPr>
            <xdr:cNvPr id="8" name="Immagine 7">
              <a:extLst>
                <a:ext uri="{FF2B5EF4-FFF2-40B4-BE49-F238E27FC236}">
                  <a16:creationId xmlns:a16="http://schemas.microsoft.com/office/drawing/2014/main" id="{FC86E650-DF19-4D9C-EA69-949EBB7A4030}"/>
                </a:ext>
              </a:extLst>
            </xdr:cNvPr>
            <xdr:cNvPicPr>
              <a:picLocks noChangeAspect="1" noChangeArrowheads="1"/>
              <a:extLst>
                <a:ext uri="{84589F7E-364E-4C9E-8A38-B11213B215E9}">
                  <a14:cameraTool cellRange="GEOMETRY!$D$30:$K$34" spid="_x0000_s29863"/>
                </a:ext>
              </a:extLst>
            </xdr:cNvPicPr>
          </xdr:nvPicPr>
          <xdr:blipFill>
            <a:blip xmlns:r="http://schemas.openxmlformats.org/officeDocument/2006/relationships" r:embed="rId4"/>
            <a:srcRect/>
            <a:stretch>
              <a:fillRect/>
            </a:stretch>
          </xdr:blipFill>
          <xdr:spPr bwMode="auto">
            <a:xfrm>
              <a:off x="0" y="12172950"/>
              <a:ext cx="13201650" cy="962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82</xdr:row>
          <xdr:rowOff>0</xdr:rowOff>
        </xdr:from>
        <xdr:to>
          <xdr:col>17</xdr:col>
          <xdr:colOff>447675</xdr:colOff>
          <xdr:row>93</xdr:row>
          <xdr:rowOff>133350</xdr:rowOff>
        </xdr:to>
        <xdr:pic>
          <xdr:nvPicPr>
            <xdr:cNvPr id="9" name="Immagine 8">
              <a:extLst>
                <a:ext uri="{FF2B5EF4-FFF2-40B4-BE49-F238E27FC236}">
                  <a16:creationId xmlns:a16="http://schemas.microsoft.com/office/drawing/2014/main" id="{CF8D8114-11D2-0AE0-E079-D58A5EEB2178}"/>
                </a:ext>
              </a:extLst>
            </xdr:cNvPr>
            <xdr:cNvPicPr>
              <a:picLocks noChangeAspect="1" noChangeArrowheads="1"/>
              <a:extLst>
                <a:ext uri="{84589F7E-364E-4C9E-8A38-B11213B215E9}">
                  <a14:cameraTool cellRange="CLT!$F$9:$O$18" spid="_x0000_s29864"/>
                </a:ext>
              </a:extLst>
            </xdr:cNvPicPr>
          </xdr:nvPicPr>
          <xdr:blipFill>
            <a:blip xmlns:r="http://schemas.openxmlformats.org/officeDocument/2006/relationships" r:embed="rId5"/>
            <a:srcRect/>
            <a:stretch>
              <a:fillRect/>
            </a:stretch>
          </xdr:blipFill>
          <xdr:spPr bwMode="auto">
            <a:xfrm>
              <a:off x="2495550" y="13277850"/>
              <a:ext cx="9610725"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104775</xdr:rowOff>
        </xdr:from>
        <xdr:to>
          <xdr:col>20</xdr:col>
          <xdr:colOff>0</xdr:colOff>
          <xdr:row>111</xdr:row>
          <xdr:rowOff>28575</xdr:rowOff>
        </xdr:to>
        <xdr:pic>
          <xdr:nvPicPr>
            <xdr:cNvPr id="10" name="Immagine 9">
              <a:extLst>
                <a:ext uri="{FF2B5EF4-FFF2-40B4-BE49-F238E27FC236}">
                  <a16:creationId xmlns:a16="http://schemas.microsoft.com/office/drawing/2014/main" id="{E521E9E1-194A-9B50-ED57-149726E82528}"/>
                </a:ext>
              </a:extLst>
            </xdr:cNvPr>
            <xdr:cNvPicPr>
              <a:picLocks noChangeAspect="1" noChangeArrowheads="1"/>
              <a:extLst>
                <a:ext uri="{84589F7E-364E-4C9E-8A38-B11213B215E9}">
                  <a14:cameraTool cellRange="GEOMETRY!$D$36:$K$49" spid="_x0000_s29865"/>
                </a:ext>
              </a:extLst>
            </xdr:cNvPicPr>
          </xdr:nvPicPr>
          <xdr:blipFill>
            <a:blip xmlns:r="http://schemas.openxmlformats.org/officeDocument/2006/relationships" r:embed="rId6"/>
            <a:srcRect/>
            <a:stretch>
              <a:fillRect/>
            </a:stretch>
          </xdr:blipFill>
          <xdr:spPr bwMode="auto">
            <a:xfrm>
              <a:off x="0" y="15325725"/>
              <a:ext cx="13201650" cy="2676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0</xdr:colOff>
      <xdr:row>137</xdr:row>
      <xdr:rowOff>0</xdr:rowOff>
    </xdr:from>
    <xdr:to>
      <xdr:col>7</xdr:col>
      <xdr:colOff>480060</xdr:colOff>
      <xdr:row>156</xdr:row>
      <xdr:rowOff>24742</xdr:rowOff>
    </xdr:to>
    <xdr:graphicFrame macro="">
      <xdr:nvGraphicFramePr>
        <xdr:cNvPr id="11" name="Orientamento">
          <a:extLst>
            <a:ext uri="{FF2B5EF4-FFF2-40B4-BE49-F238E27FC236}">
              <a16:creationId xmlns:a16="http://schemas.microsoft.com/office/drawing/2014/main" id="{E535E498-DCF9-4B1A-884E-C5D95FB39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466725</xdr:colOff>
      <xdr:row>137</xdr:row>
      <xdr:rowOff>0</xdr:rowOff>
    </xdr:from>
    <xdr:to>
      <xdr:col>19</xdr:col>
      <xdr:colOff>141755</xdr:colOff>
      <xdr:row>151</xdr:row>
      <xdr:rowOff>30256</xdr:rowOff>
    </xdr:to>
    <xdr:graphicFrame macro="">
      <xdr:nvGraphicFramePr>
        <xdr:cNvPr id="12" name="Graph_section">
          <a:extLst>
            <a:ext uri="{FF2B5EF4-FFF2-40B4-BE49-F238E27FC236}">
              <a16:creationId xmlns:a16="http://schemas.microsoft.com/office/drawing/2014/main" id="{7CF97D5E-2D08-4227-BE1A-C7E519135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68561</xdr:colOff>
      <xdr:row>151</xdr:row>
      <xdr:rowOff>30812</xdr:rowOff>
    </xdr:from>
    <xdr:to>
      <xdr:col>19</xdr:col>
      <xdr:colOff>140229</xdr:colOff>
      <xdr:row>165</xdr:row>
      <xdr:rowOff>43034</xdr:rowOff>
    </xdr:to>
    <xdr:graphicFrame macro="">
      <xdr:nvGraphicFramePr>
        <xdr:cNvPr id="13" name="Graph_position">
          <a:extLst>
            <a:ext uri="{FF2B5EF4-FFF2-40B4-BE49-F238E27FC236}">
              <a16:creationId xmlns:a16="http://schemas.microsoft.com/office/drawing/2014/main" id="{722C7E9C-B911-4556-B47D-578929054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166</xdr:row>
          <xdr:rowOff>66675</xdr:rowOff>
        </xdr:from>
        <xdr:to>
          <xdr:col>20</xdr:col>
          <xdr:colOff>0</xdr:colOff>
          <xdr:row>177</xdr:row>
          <xdr:rowOff>9525</xdr:rowOff>
        </xdr:to>
        <xdr:pic>
          <xdr:nvPicPr>
            <xdr:cNvPr id="14" name="Immagine 13">
              <a:extLst>
                <a:ext uri="{FF2B5EF4-FFF2-40B4-BE49-F238E27FC236}">
                  <a16:creationId xmlns:a16="http://schemas.microsoft.com/office/drawing/2014/main" id="{305BFE78-7EEF-5205-48FB-518310ED72F9}"/>
                </a:ext>
              </a:extLst>
            </xdr:cNvPr>
            <xdr:cNvPicPr>
              <a:picLocks noChangeAspect="1" noChangeArrowheads="1"/>
              <a:extLst>
                <a:ext uri="{84589F7E-364E-4C9E-8A38-B11213B215E9}">
                  <a14:cameraTool cellRange="GEOMETRY!$D$51:$K$59" spid="_x0000_s29866"/>
                </a:ext>
              </a:extLst>
            </xdr:cNvPicPr>
          </xdr:nvPicPr>
          <xdr:blipFill>
            <a:blip xmlns:r="http://schemas.openxmlformats.org/officeDocument/2006/relationships" r:embed="rId10"/>
            <a:srcRect/>
            <a:stretch>
              <a:fillRect/>
            </a:stretch>
          </xdr:blipFill>
          <xdr:spPr bwMode="auto">
            <a:xfrm>
              <a:off x="0" y="26946225"/>
              <a:ext cx="13201650" cy="1724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178</xdr:row>
          <xdr:rowOff>57150</xdr:rowOff>
        </xdr:from>
        <xdr:to>
          <xdr:col>11</xdr:col>
          <xdr:colOff>285750</xdr:colOff>
          <xdr:row>192</xdr:row>
          <xdr:rowOff>85725</xdr:rowOff>
        </xdr:to>
        <xdr:pic>
          <xdr:nvPicPr>
            <xdr:cNvPr id="15" name="Immagine 14">
              <a:extLst>
                <a:ext uri="{FF2B5EF4-FFF2-40B4-BE49-F238E27FC236}">
                  <a16:creationId xmlns:a16="http://schemas.microsoft.com/office/drawing/2014/main" id="{6AEA096E-36ED-1FDF-F07E-799F699474B1}"/>
                </a:ext>
              </a:extLst>
            </xdr:cNvPr>
            <xdr:cNvPicPr>
              <a:picLocks noChangeAspect="1" noChangeArrowheads="1"/>
              <a:extLst>
                <a:ext uri="{84589F7E-364E-4C9E-8A38-B11213B215E9}">
                  <a14:cameraTool cellRange="CONCRETE!$C$9:$M$20" spid="_x0000_s29867"/>
                </a:ext>
              </a:extLst>
            </xdr:cNvPicPr>
          </xdr:nvPicPr>
          <xdr:blipFill>
            <a:blip xmlns:r="http://schemas.openxmlformats.org/officeDocument/2006/relationships" r:embed="rId11"/>
            <a:srcRect/>
            <a:stretch>
              <a:fillRect/>
            </a:stretch>
          </xdr:blipFill>
          <xdr:spPr bwMode="auto">
            <a:xfrm>
              <a:off x="0" y="28879800"/>
              <a:ext cx="78295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178</xdr:row>
          <xdr:rowOff>57150</xdr:rowOff>
        </xdr:from>
        <xdr:to>
          <xdr:col>19</xdr:col>
          <xdr:colOff>28575</xdr:colOff>
          <xdr:row>192</xdr:row>
          <xdr:rowOff>85725</xdr:rowOff>
        </xdr:to>
        <xdr:pic>
          <xdr:nvPicPr>
            <xdr:cNvPr id="16" name="Immagine 15">
              <a:extLst>
                <a:ext uri="{FF2B5EF4-FFF2-40B4-BE49-F238E27FC236}">
                  <a16:creationId xmlns:a16="http://schemas.microsoft.com/office/drawing/2014/main" id="{DF5F7080-FBD4-536F-BAC1-07DA74F44CF2}"/>
                </a:ext>
              </a:extLst>
            </xdr:cNvPr>
            <xdr:cNvPicPr>
              <a:picLocks noChangeAspect="1" noChangeArrowheads="1"/>
              <a:extLst>
                <a:ext uri="{84589F7E-364E-4C9E-8A38-B11213B215E9}">
                  <a14:cameraTool cellRange="CONCRETE!$C$24:$I$35" spid="_x0000_s29868"/>
                </a:ext>
              </a:extLst>
            </xdr:cNvPicPr>
          </xdr:nvPicPr>
          <xdr:blipFill>
            <a:blip xmlns:r="http://schemas.openxmlformats.org/officeDocument/2006/relationships" r:embed="rId12"/>
            <a:srcRect/>
            <a:stretch>
              <a:fillRect/>
            </a:stretch>
          </xdr:blipFill>
          <xdr:spPr bwMode="auto">
            <a:xfrm>
              <a:off x="7972425" y="28879800"/>
              <a:ext cx="50863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104775</xdr:rowOff>
        </xdr:from>
        <xdr:to>
          <xdr:col>20</xdr:col>
          <xdr:colOff>0</xdr:colOff>
          <xdr:row>212</xdr:row>
          <xdr:rowOff>85725</xdr:rowOff>
        </xdr:to>
        <xdr:pic>
          <xdr:nvPicPr>
            <xdr:cNvPr id="17" name="Immagine 16">
              <a:extLst>
                <a:ext uri="{FF2B5EF4-FFF2-40B4-BE49-F238E27FC236}">
                  <a16:creationId xmlns:a16="http://schemas.microsoft.com/office/drawing/2014/main" id="{C33459B7-39BD-8FCA-E84F-6DA7FA36622B}"/>
                </a:ext>
              </a:extLst>
            </xdr:cNvPr>
            <xdr:cNvPicPr>
              <a:picLocks noChangeAspect="1" noChangeArrowheads="1"/>
              <a:extLst>
                <a:ext uri="{84589F7E-364E-4C9E-8A38-B11213B215E9}">
                  <a14:cameraTool cellRange="GEOMETRY!$D$61:$K$76" spid="_x0000_s29869"/>
                </a:ext>
              </a:extLst>
            </xdr:cNvPicPr>
          </xdr:nvPicPr>
          <xdr:blipFill>
            <a:blip xmlns:r="http://schemas.openxmlformats.org/officeDocument/2006/relationships" r:embed="rId13"/>
            <a:srcRect/>
            <a:stretch>
              <a:fillRect/>
            </a:stretch>
          </xdr:blipFill>
          <xdr:spPr bwMode="auto">
            <a:xfrm>
              <a:off x="0" y="3135630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213</xdr:row>
          <xdr:rowOff>85725</xdr:rowOff>
        </xdr:from>
        <xdr:to>
          <xdr:col>9</xdr:col>
          <xdr:colOff>114300</xdr:colOff>
          <xdr:row>225</xdr:row>
          <xdr:rowOff>57150</xdr:rowOff>
        </xdr:to>
        <xdr:pic>
          <xdr:nvPicPr>
            <xdr:cNvPr id="19" name="Immagine 18">
              <a:extLst>
                <a:ext uri="{FF2B5EF4-FFF2-40B4-BE49-F238E27FC236}">
                  <a16:creationId xmlns:a16="http://schemas.microsoft.com/office/drawing/2014/main" id="{986F1ABE-2312-FB16-4F34-9C018364F150}"/>
                </a:ext>
              </a:extLst>
            </xdr:cNvPr>
            <xdr:cNvPicPr>
              <a:picLocks noChangeAspect="1" noChangeArrowheads="1"/>
              <a:extLst>
                <a:ext uri="{84589F7E-364E-4C9E-8A38-B11213B215E9}">
                  <a14:cameraTool cellRange="'CLT EDGE DISTANCE'!$C$9:$E$18" spid="_x0000_s29870"/>
                </a:ext>
              </a:extLst>
            </xdr:cNvPicPr>
          </xdr:nvPicPr>
          <xdr:blipFill>
            <a:blip xmlns:r="http://schemas.openxmlformats.org/officeDocument/2006/relationships" r:embed="rId14"/>
            <a:srcRect/>
            <a:stretch>
              <a:fillRect/>
            </a:stretch>
          </xdr:blipFill>
          <xdr:spPr bwMode="auto">
            <a:xfrm>
              <a:off x="2495550" y="34575750"/>
              <a:ext cx="3790950"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236</xdr:row>
          <xdr:rowOff>28575</xdr:rowOff>
        </xdr:from>
        <xdr:to>
          <xdr:col>19</xdr:col>
          <xdr:colOff>159124</xdr:colOff>
          <xdr:row>241</xdr:row>
          <xdr:rowOff>3362</xdr:rowOff>
        </xdr:to>
        <xdr:pic>
          <xdr:nvPicPr>
            <xdr:cNvPr id="20" name="Immagine 19">
              <a:extLst>
                <a:ext uri="{FF2B5EF4-FFF2-40B4-BE49-F238E27FC236}">
                  <a16:creationId xmlns:a16="http://schemas.microsoft.com/office/drawing/2014/main" id="{64F222F2-66FE-D832-0EBE-8DA664BC9633}"/>
                </a:ext>
              </a:extLst>
            </xdr:cNvPr>
            <xdr:cNvPicPr>
              <a:picLocks noChangeAspect="1" noChangeArrowheads="1"/>
              <a:extLst>
                <a:ext uri="{84589F7E-364E-4C9E-8A38-B11213B215E9}">
                  <a14:cameraTool cellRange="'CALCOLI STS (slab to slab)'!$D$63:$K$67" spid="_x0000_s29871"/>
                </a:ext>
              </a:extLst>
            </xdr:cNvPicPr>
          </xdr:nvPicPr>
          <xdr:blipFill>
            <a:blip xmlns:r="http://schemas.openxmlformats.org/officeDocument/2006/relationships" r:embed="rId15"/>
            <a:srcRect/>
            <a:stretch>
              <a:fillRect/>
            </a:stretch>
          </xdr:blipFill>
          <xdr:spPr bwMode="auto">
            <a:xfrm>
              <a:off x="0" y="38242875"/>
              <a:ext cx="13189324" cy="78441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241</xdr:row>
          <xdr:rowOff>76200</xdr:rowOff>
        </xdr:from>
        <xdr:to>
          <xdr:col>20</xdr:col>
          <xdr:colOff>0</xdr:colOff>
          <xdr:row>263</xdr:row>
          <xdr:rowOff>142875</xdr:rowOff>
        </xdr:to>
        <xdr:pic>
          <xdr:nvPicPr>
            <xdr:cNvPr id="21" name="Immagine 20">
              <a:extLst>
                <a:ext uri="{FF2B5EF4-FFF2-40B4-BE49-F238E27FC236}">
                  <a16:creationId xmlns:a16="http://schemas.microsoft.com/office/drawing/2014/main" id="{E5943E5A-5ACE-8743-4F45-0F49F43281A9}"/>
                </a:ext>
              </a:extLst>
            </xdr:cNvPr>
            <xdr:cNvPicPr>
              <a:picLocks noChangeAspect="1" noChangeArrowheads="1"/>
              <a:extLst>
                <a:ext uri="{84589F7E-364E-4C9E-8A38-B11213B215E9}">
                  <a14:cameraTool cellRange="'CALCOLI STS (slab to slab)'!$D$73:$K$91" spid="_x0000_s29872"/>
                </a:ext>
              </a:extLst>
            </xdr:cNvPicPr>
          </xdr:nvPicPr>
          <xdr:blipFill>
            <a:blip xmlns:r="http://schemas.openxmlformats.org/officeDocument/2006/relationships" r:embed="rId16"/>
            <a:srcRect/>
            <a:stretch>
              <a:fillRect/>
            </a:stretch>
          </xdr:blipFill>
          <xdr:spPr bwMode="auto">
            <a:xfrm>
              <a:off x="0" y="39100125"/>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304800</xdr:colOff>
      <xdr:row>264</xdr:row>
      <xdr:rowOff>28575</xdr:rowOff>
    </xdr:from>
    <xdr:to>
      <xdr:col>13</xdr:col>
      <xdr:colOff>578400</xdr:colOff>
      <xdr:row>288</xdr:row>
      <xdr:rowOff>65099</xdr:rowOff>
    </xdr:to>
    <xdr:pic>
      <xdr:nvPicPr>
        <xdr:cNvPr id="22" name="leverarm" descr="Immagine che contiene testo, diagramma, Parallelo, linea&#10;&#10;Descrizione generata automaticamente">
          <a:extLst>
            <a:ext uri="{FF2B5EF4-FFF2-40B4-BE49-F238E27FC236}">
              <a16:creationId xmlns:a16="http://schemas.microsoft.com/office/drawing/2014/main" id="{4EC409E4-0CDB-43DE-866A-2E7D185197C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733800" y="42776775"/>
          <a:ext cx="5760000" cy="3922724"/>
        </a:xfrm>
        <a:prstGeom prst="rect">
          <a:avLst/>
        </a:prstGeom>
        <a:noFill/>
        <a:ln w="12700">
          <a:no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288</xdr:row>
          <xdr:rowOff>95250</xdr:rowOff>
        </xdr:from>
        <xdr:to>
          <xdr:col>20</xdr:col>
          <xdr:colOff>0</xdr:colOff>
          <xdr:row>307</xdr:row>
          <xdr:rowOff>76200</xdr:rowOff>
        </xdr:to>
        <xdr:pic>
          <xdr:nvPicPr>
            <xdr:cNvPr id="23" name="Immagine 22">
              <a:extLst>
                <a:ext uri="{FF2B5EF4-FFF2-40B4-BE49-F238E27FC236}">
                  <a16:creationId xmlns:a16="http://schemas.microsoft.com/office/drawing/2014/main" id="{215BA743-5073-F58E-700C-3CD07A8996CC}"/>
                </a:ext>
              </a:extLst>
            </xdr:cNvPr>
            <xdr:cNvPicPr>
              <a:picLocks noChangeAspect="1" noChangeArrowheads="1"/>
              <a:extLst>
                <a:ext uri="{84589F7E-364E-4C9E-8A38-B11213B215E9}">
                  <a14:cameraTool cellRange="'CALCOLI STS (slab to slab)'!$D$93:$K$108" spid="_x0000_s29873"/>
                </a:ext>
              </a:extLst>
            </xdr:cNvPicPr>
          </xdr:nvPicPr>
          <xdr:blipFill>
            <a:blip xmlns:r="http://schemas.openxmlformats.org/officeDocument/2006/relationships" r:embed="rId18"/>
            <a:srcRect/>
            <a:stretch>
              <a:fillRect/>
            </a:stretch>
          </xdr:blipFill>
          <xdr:spPr bwMode="auto">
            <a:xfrm>
              <a:off x="0" y="4672965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327</xdr:row>
          <xdr:rowOff>142875</xdr:rowOff>
        </xdr:from>
        <xdr:to>
          <xdr:col>20</xdr:col>
          <xdr:colOff>0</xdr:colOff>
          <xdr:row>351</xdr:row>
          <xdr:rowOff>76200</xdr:rowOff>
        </xdr:to>
        <xdr:pic>
          <xdr:nvPicPr>
            <xdr:cNvPr id="25" name="Immagine 24">
              <a:extLst>
                <a:ext uri="{FF2B5EF4-FFF2-40B4-BE49-F238E27FC236}">
                  <a16:creationId xmlns:a16="http://schemas.microsoft.com/office/drawing/2014/main" id="{DF5421E3-8501-A503-AF45-CD41E5652EEB}"/>
                </a:ext>
              </a:extLst>
            </xdr:cNvPr>
            <xdr:cNvPicPr>
              <a:picLocks noChangeAspect="1" noChangeArrowheads="1"/>
              <a:extLst>
                <a:ext uri="{84589F7E-364E-4C9E-8A38-B11213B215E9}">
                  <a14:cameraTool cellRange="'CALCOLI STS (slab to slab)'!$D$110:$K$129" spid="_x0000_s29874"/>
                </a:ext>
              </a:extLst>
            </xdr:cNvPicPr>
          </xdr:nvPicPr>
          <xdr:blipFill>
            <a:blip xmlns:r="http://schemas.openxmlformats.org/officeDocument/2006/relationships" r:embed="rId19"/>
            <a:srcRect/>
            <a:stretch>
              <a:fillRect/>
            </a:stretch>
          </xdr:blipFill>
          <xdr:spPr bwMode="auto">
            <a:xfrm>
              <a:off x="0" y="53092350"/>
              <a:ext cx="13201650" cy="3819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19050</xdr:rowOff>
        </xdr:from>
        <xdr:to>
          <xdr:col>6</xdr:col>
          <xdr:colOff>238125</xdr:colOff>
          <xdr:row>126</xdr:row>
          <xdr:rowOff>19050</xdr:rowOff>
        </xdr:to>
        <xdr:pic>
          <xdr:nvPicPr>
            <xdr:cNvPr id="31" name="Immagine 30">
              <a:extLst>
                <a:ext uri="{FF2B5EF4-FFF2-40B4-BE49-F238E27FC236}">
                  <a16:creationId xmlns:a16="http://schemas.microsoft.com/office/drawing/2014/main" id="{10AB3F6C-1C2E-42B1-A2A4-4CD1DEB83A1D}"/>
                </a:ext>
              </a:extLst>
            </xdr:cNvPr>
            <xdr:cNvPicPr>
              <a:picLocks noChangeAspect="1" noChangeArrowheads="1"/>
              <a:extLst>
                <a:ext uri="{84589F7E-364E-4C9E-8A38-B11213B215E9}">
                  <a14:cameraTool cellRange="SCREWS!$B$25:$F$35" spid="_x0000_s29875"/>
                </a:ext>
              </a:extLst>
            </xdr:cNvPicPr>
          </xdr:nvPicPr>
          <xdr:blipFill>
            <a:blip xmlns:r="http://schemas.openxmlformats.org/officeDocument/2006/relationships" r:embed="rId20"/>
            <a:srcRect/>
            <a:stretch>
              <a:fillRect/>
            </a:stretch>
          </xdr:blipFill>
          <xdr:spPr bwMode="auto">
            <a:xfrm>
              <a:off x="0" y="18316575"/>
              <a:ext cx="43529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142875</xdr:rowOff>
        </xdr:from>
        <xdr:to>
          <xdr:col>5</xdr:col>
          <xdr:colOff>9525</xdr:colOff>
          <xdr:row>136</xdr:row>
          <xdr:rowOff>57150</xdr:rowOff>
        </xdr:to>
        <xdr:pic>
          <xdr:nvPicPr>
            <xdr:cNvPr id="34" name="Immagine 33">
              <a:extLst>
                <a:ext uri="{FF2B5EF4-FFF2-40B4-BE49-F238E27FC236}">
                  <a16:creationId xmlns:a16="http://schemas.microsoft.com/office/drawing/2014/main" id="{681ED209-046C-4EA0-B74F-C26024CDAFC2}"/>
                </a:ext>
              </a:extLst>
            </xdr:cNvPr>
            <xdr:cNvPicPr>
              <a:picLocks noChangeAspect="1" noChangeArrowheads="1"/>
              <a:extLst>
                <a:ext uri="{84589F7E-364E-4C9E-8A38-B11213B215E9}">
                  <a14:cameraTool cellRange="SCREWS!$G$37:$K$44" spid="_x0000_s29876"/>
                </a:ext>
              </a:extLst>
            </xdr:cNvPicPr>
          </xdr:nvPicPr>
          <xdr:blipFill>
            <a:blip xmlns:r="http://schemas.openxmlformats.org/officeDocument/2006/relationships" r:embed="rId21"/>
            <a:srcRect/>
            <a:stretch>
              <a:fillRect/>
            </a:stretch>
          </xdr:blipFill>
          <xdr:spPr bwMode="auto">
            <a:xfrm>
              <a:off x="0" y="20545425"/>
              <a:ext cx="3438525" cy="1533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19050</xdr:rowOff>
        </xdr:from>
        <xdr:to>
          <xdr:col>12</xdr:col>
          <xdr:colOff>57150</xdr:colOff>
          <xdr:row>126</xdr:row>
          <xdr:rowOff>19050</xdr:rowOff>
        </xdr:to>
        <xdr:pic>
          <xdr:nvPicPr>
            <xdr:cNvPr id="35" name="Immagine 34">
              <a:extLst>
                <a:ext uri="{FF2B5EF4-FFF2-40B4-BE49-F238E27FC236}">
                  <a16:creationId xmlns:a16="http://schemas.microsoft.com/office/drawing/2014/main" id="{786EA049-357F-40DA-933E-C655C87E9B78}"/>
                </a:ext>
              </a:extLst>
            </xdr:cNvPr>
            <xdr:cNvPicPr>
              <a:picLocks noChangeAspect="1" noChangeArrowheads="1"/>
              <a:extLst>
                <a:ext uri="{84589F7E-364E-4C9E-8A38-B11213B215E9}">
                  <a14:cameraTool cellRange="SCREWS!$G$25:$K$35" spid="_x0000_s29877"/>
                </a:ext>
              </a:extLst>
            </xdr:cNvPicPr>
          </xdr:nvPicPr>
          <xdr:blipFill>
            <a:blip xmlns:r="http://schemas.openxmlformats.org/officeDocument/2006/relationships" r:embed="rId22"/>
            <a:srcRect/>
            <a:stretch>
              <a:fillRect/>
            </a:stretch>
          </xdr:blipFill>
          <xdr:spPr bwMode="auto">
            <a:xfrm>
              <a:off x="4848225" y="18316575"/>
              <a:ext cx="34385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600075</xdr:colOff>
          <xdr:row>113</xdr:row>
          <xdr:rowOff>19050</xdr:rowOff>
        </xdr:from>
        <xdr:to>
          <xdr:col>19</xdr:col>
          <xdr:colOff>152400</xdr:colOff>
          <xdr:row>135</xdr:row>
          <xdr:rowOff>85725</xdr:rowOff>
        </xdr:to>
        <xdr:pic>
          <xdr:nvPicPr>
            <xdr:cNvPr id="36" name="Immagine 35">
              <a:extLst>
                <a:ext uri="{FF2B5EF4-FFF2-40B4-BE49-F238E27FC236}">
                  <a16:creationId xmlns:a16="http://schemas.microsoft.com/office/drawing/2014/main" id="{9F15D3A4-FAA2-489E-8131-8A130F312268}"/>
                </a:ext>
              </a:extLst>
            </xdr:cNvPr>
            <xdr:cNvPicPr>
              <a:picLocks noChangeAspect="1" noChangeArrowheads="1"/>
              <a:extLst>
                <a:ext uri="{84589F7E-364E-4C9E-8A38-B11213B215E9}">
                  <a14:cameraTool cellRange="SCREWS!$B$37:$F$55" spid="_x0000_s29878"/>
                </a:ext>
              </a:extLst>
            </xdr:cNvPicPr>
          </xdr:nvPicPr>
          <xdr:blipFill>
            <a:blip xmlns:r="http://schemas.openxmlformats.org/officeDocument/2006/relationships" r:embed="rId23"/>
            <a:srcRect/>
            <a:stretch>
              <a:fillRect/>
            </a:stretch>
          </xdr:blipFill>
          <xdr:spPr bwMode="auto">
            <a:xfrm>
              <a:off x="8829675" y="18316575"/>
              <a:ext cx="4352925"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161926</xdr:colOff>
      <xdr:row>307</xdr:row>
      <xdr:rowOff>104775</xdr:rowOff>
    </xdr:from>
    <xdr:to>
      <xdr:col>14</xdr:col>
      <xdr:colOff>16931</xdr:colOff>
      <xdr:row>327</xdr:row>
      <xdr:rowOff>106275</xdr:rowOff>
    </xdr:to>
    <xdr:pic>
      <xdr:nvPicPr>
        <xdr:cNvPr id="3" name="verif" descr="Immagine che contiene testo, schermata, Carattere, numero&#10;&#10;Descrizione generata automaticamente">
          <a:extLst>
            <a:ext uri="{FF2B5EF4-FFF2-40B4-BE49-F238E27FC236}">
              <a16:creationId xmlns:a16="http://schemas.microsoft.com/office/drawing/2014/main" id="{D8D92568-7CCE-42F9-AB94-EC385DD183E1}"/>
            </a:ext>
          </a:extLst>
        </xdr:cNvPr>
        <xdr:cNvPicPr>
          <a:picLocks noChangeAspect="1"/>
        </xdr:cNvPicPr>
      </xdr:nvPicPr>
      <xdr:blipFill>
        <a:blip xmlns:r="http://schemas.openxmlformats.org/officeDocument/2006/relationships" r:embed="rId24"/>
        <a:stretch>
          <a:fillRect/>
        </a:stretch>
      </xdr:blipFill>
      <xdr:spPr>
        <a:xfrm>
          <a:off x="3590926" y="49815750"/>
          <a:ext cx="6027205" cy="3240000"/>
        </a:xfrm>
        <a:prstGeom prst="rect">
          <a:avLst/>
        </a:prstGeom>
        <a:ln w="28575">
          <a:noFill/>
        </a:ln>
      </xdr:spPr>
    </xdr:pic>
    <xdr:clientData/>
  </xdr:twoCellAnchor>
  <xdr:twoCellAnchor editAs="oneCell">
    <xdr:from>
      <xdr:col>3</xdr:col>
      <xdr:colOff>0</xdr:colOff>
      <xdr:row>351</xdr:row>
      <xdr:rowOff>76200</xdr:rowOff>
    </xdr:from>
    <xdr:to>
      <xdr:col>11</xdr:col>
      <xdr:colOff>273600</xdr:colOff>
      <xdr:row>363</xdr:row>
      <xdr:rowOff>15010</xdr:rowOff>
    </xdr:to>
    <xdr:pic>
      <xdr:nvPicPr>
        <xdr:cNvPr id="27" name="rigidity" descr="Immagine che contiene diagramma, testo, linea, schizzo&#10;&#10;Descrizione generata automaticamente">
          <a:extLst>
            <a:ext uri="{FF2B5EF4-FFF2-40B4-BE49-F238E27FC236}">
              <a16:creationId xmlns:a16="http://schemas.microsoft.com/office/drawing/2014/main" id="{2012749E-DCB4-4EAB-91C3-D970BDC08944}"/>
            </a:ext>
          </a:extLst>
        </xdr:cNvPr>
        <xdr:cNvPicPr>
          <a:picLocks noChangeAspect="1"/>
        </xdr:cNvPicPr>
      </xdr:nvPicPr>
      <xdr:blipFill>
        <a:blip xmlns:r="http://schemas.openxmlformats.org/officeDocument/2006/relationships" r:embed="rId25"/>
        <a:stretch>
          <a:fillRect/>
        </a:stretch>
      </xdr:blipFill>
      <xdr:spPr>
        <a:xfrm>
          <a:off x="2057400" y="56911875"/>
          <a:ext cx="5760000" cy="1881910"/>
        </a:xfrm>
        <a:prstGeom prst="rect">
          <a:avLst/>
        </a:prstGeom>
        <a:ln w="12700">
          <a:noFill/>
        </a:ln>
      </xdr:spPr>
    </xdr:pic>
    <xdr:clientData/>
  </xdr:twoCellAnchor>
  <xdr:twoCellAnchor editAs="oneCell">
    <xdr:from>
      <xdr:col>11</xdr:col>
      <xdr:colOff>238125</xdr:colOff>
      <xdr:row>351</xdr:row>
      <xdr:rowOff>85725</xdr:rowOff>
    </xdr:from>
    <xdr:to>
      <xdr:col>19</xdr:col>
      <xdr:colOff>151725</xdr:colOff>
      <xdr:row>357</xdr:row>
      <xdr:rowOff>1802</xdr:rowOff>
    </xdr:to>
    <xdr:pic>
      <xdr:nvPicPr>
        <xdr:cNvPr id="28" name="RotStiff">
          <a:extLst>
            <a:ext uri="{FF2B5EF4-FFF2-40B4-BE49-F238E27FC236}">
              <a16:creationId xmlns:a16="http://schemas.microsoft.com/office/drawing/2014/main" id="{7DE4DE6D-0141-45F6-9420-71D06A5FF034}"/>
            </a:ext>
          </a:extLst>
        </xdr:cNvPr>
        <xdr:cNvPicPr>
          <a:picLocks noChangeAspect="1"/>
        </xdr:cNvPicPr>
      </xdr:nvPicPr>
      <xdr:blipFill>
        <a:blip xmlns:r="http://schemas.openxmlformats.org/officeDocument/2006/relationships" r:embed="rId26"/>
        <a:stretch>
          <a:fillRect/>
        </a:stretch>
      </xdr:blipFill>
      <xdr:spPr>
        <a:xfrm>
          <a:off x="7781925" y="56921400"/>
          <a:ext cx="5400000" cy="887627"/>
        </a:xfrm>
        <a:prstGeom prst="rect">
          <a:avLst/>
        </a:prstGeom>
        <a:ln w="28575">
          <a:noFill/>
        </a:ln>
      </xdr:spPr>
    </xdr:pic>
    <xdr:clientData/>
  </xdr:twoCellAnchor>
  <xdr:twoCellAnchor editAs="oneCell">
    <xdr:from>
      <xdr:col>2</xdr:col>
      <xdr:colOff>180975</xdr:colOff>
      <xdr:row>372</xdr:row>
      <xdr:rowOff>19050</xdr:rowOff>
    </xdr:from>
    <xdr:to>
      <xdr:col>17</xdr:col>
      <xdr:colOff>229</xdr:colOff>
      <xdr:row>378</xdr:row>
      <xdr:rowOff>60109</xdr:rowOff>
    </xdr:to>
    <xdr:pic>
      <xdr:nvPicPr>
        <xdr:cNvPr id="29" name="Immagine 28">
          <a:extLst>
            <a:ext uri="{FF2B5EF4-FFF2-40B4-BE49-F238E27FC236}">
              <a16:creationId xmlns:a16="http://schemas.microsoft.com/office/drawing/2014/main" id="{812596D6-E807-4D93-8906-1E64F3412C9C}"/>
            </a:ext>
          </a:extLst>
        </xdr:cNvPr>
        <xdr:cNvPicPr>
          <a:picLocks noChangeAspect="1"/>
        </xdr:cNvPicPr>
      </xdr:nvPicPr>
      <xdr:blipFill>
        <a:blip xmlns:r="http://schemas.openxmlformats.org/officeDocument/2006/relationships" r:embed="rId27"/>
        <a:stretch>
          <a:fillRect/>
        </a:stretch>
      </xdr:blipFill>
      <xdr:spPr>
        <a:xfrm>
          <a:off x="1552575" y="61321950"/>
          <a:ext cx="10106254" cy="1012609"/>
        </a:xfrm>
        <a:prstGeom prst="rect">
          <a:avLst/>
        </a:prstGeom>
      </xdr:spPr>
    </xdr:pic>
    <xdr:clientData/>
  </xdr:twoCellAnchor>
  <xdr:twoCellAnchor editAs="oneCell">
    <xdr:from>
      <xdr:col>9</xdr:col>
      <xdr:colOff>400050</xdr:colOff>
      <xdr:row>213</xdr:row>
      <xdr:rowOff>0</xdr:rowOff>
    </xdr:from>
    <xdr:to>
      <xdr:col>19</xdr:col>
      <xdr:colOff>22050</xdr:colOff>
      <xdr:row>233</xdr:row>
      <xdr:rowOff>141209</xdr:rowOff>
    </xdr:to>
    <xdr:pic>
      <xdr:nvPicPr>
        <xdr:cNvPr id="7" name="Immagine 6" descr="Immagine che contiene diagramma, Parallelo, linea, Rettangolo&#10;&#10;Descrizione generata automaticamente">
          <a:extLst>
            <a:ext uri="{FF2B5EF4-FFF2-40B4-BE49-F238E27FC236}">
              <a16:creationId xmlns:a16="http://schemas.microsoft.com/office/drawing/2014/main" id="{CD22B065-DEC4-9D61-398B-A9D772CF8733}"/>
            </a:ext>
          </a:extLst>
        </xdr:cNvPr>
        <xdr:cNvPicPr>
          <a:picLocks noChangeAspect="1"/>
        </xdr:cNvPicPr>
      </xdr:nvPicPr>
      <xdr:blipFill rotWithShape="1">
        <a:blip xmlns:r="http://schemas.openxmlformats.org/officeDocument/2006/relationships" r:embed="rId28"/>
        <a:srcRect t="5082"/>
        <a:stretch/>
      </xdr:blipFill>
      <xdr:spPr>
        <a:xfrm>
          <a:off x="6572250" y="34490025"/>
          <a:ext cx="6480000" cy="3379709"/>
        </a:xfrm>
        <a:prstGeom prst="rect">
          <a:avLst/>
        </a:prstGeom>
      </xdr:spPr>
    </xdr:pic>
    <xdr:clientData/>
  </xdr:twoCellAnchor>
  <xdr:twoCellAnchor editAs="oneCell">
    <xdr:from>
      <xdr:col>4</xdr:col>
      <xdr:colOff>257175</xdr:colOff>
      <xdr:row>48</xdr:row>
      <xdr:rowOff>9526</xdr:rowOff>
    </xdr:from>
    <xdr:to>
      <xdr:col>14</xdr:col>
      <xdr:colOff>599175</xdr:colOff>
      <xdr:row>73</xdr:row>
      <xdr:rowOff>33196</xdr:rowOff>
    </xdr:to>
    <xdr:pic>
      <xdr:nvPicPr>
        <xdr:cNvPr id="18" name="Concept_rep" descr="Immagine che contiene scatola, contenitore, testo&#10;&#10;Descrizione generata automaticamente">
          <a:extLst>
            <a:ext uri="{FF2B5EF4-FFF2-40B4-BE49-F238E27FC236}">
              <a16:creationId xmlns:a16="http://schemas.microsoft.com/office/drawing/2014/main" id="{FCD07CD2-956E-4D13-9882-706FABF4A17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000375" y="7781926"/>
          <a:ext cx="7200000" cy="4071795"/>
        </a:xfrm>
        <a:prstGeom prst="rect">
          <a:avLst/>
        </a:prstGeom>
        <a:noFill/>
        <a:ln w="28575">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1368885</xdr:colOff>
      <xdr:row>5</xdr:row>
      <xdr:rowOff>124406</xdr:rowOff>
    </xdr:to>
    <xdr:pic>
      <xdr:nvPicPr>
        <xdr:cNvPr id="8" name="Immagine 7">
          <a:extLst>
            <a:ext uri="{FF2B5EF4-FFF2-40B4-BE49-F238E27FC236}">
              <a16:creationId xmlns:a16="http://schemas.microsoft.com/office/drawing/2014/main" id="{B3A2FB72-448E-4C06-BC64-79FEC4351B4E}"/>
            </a:ext>
          </a:extLst>
        </xdr:cNvPr>
        <xdr:cNvPicPr>
          <a:picLocks noChangeAspect="1"/>
        </xdr:cNvPicPr>
      </xdr:nvPicPr>
      <xdr:blipFill rotWithShape="1">
        <a:blip xmlns:r="http://schemas.openxmlformats.org/officeDocument/2006/relationships" r:embed="rId1"/>
        <a:srcRect l="7792" t="6154" r="5195" b="7679"/>
        <a:stretch/>
      </xdr:blipFill>
      <xdr:spPr>
        <a:xfrm>
          <a:off x="428625" y="161925"/>
          <a:ext cx="1797510" cy="772106"/>
        </a:xfrm>
        <a:prstGeom prst="rect">
          <a:avLst/>
        </a:prstGeom>
      </xdr:spPr>
    </xdr:pic>
    <xdr:clientData/>
  </xdr:twoCellAnchor>
  <xdr:twoCellAnchor>
    <xdr:from>
      <xdr:col>3</xdr:col>
      <xdr:colOff>1857376</xdr:colOff>
      <xdr:row>60</xdr:row>
      <xdr:rowOff>28575</xdr:rowOff>
    </xdr:from>
    <xdr:to>
      <xdr:col>3</xdr:col>
      <xdr:colOff>3714750</xdr:colOff>
      <xdr:row>62</xdr:row>
      <xdr:rowOff>123825</xdr:rowOff>
    </xdr:to>
    <xdr:sp macro="" textlink="">
      <xdr:nvSpPr>
        <xdr:cNvPr id="9" name="CasellaDiTesto 8">
          <a:hlinkClick xmlns:r="http://schemas.openxmlformats.org/officeDocument/2006/relationships" r:id="rId2"/>
          <a:extLst>
            <a:ext uri="{FF2B5EF4-FFF2-40B4-BE49-F238E27FC236}">
              <a16:creationId xmlns:a16="http://schemas.microsoft.com/office/drawing/2014/main" id="{14E2B644-C2DC-74F4-FA96-D531E049E892}"/>
            </a:ext>
          </a:extLst>
        </xdr:cNvPr>
        <xdr:cNvSpPr txBox="1"/>
      </xdr:nvSpPr>
      <xdr:spPr>
        <a:xfrm>
          <a:off x="4133851" y="23602950"/>
          <a:ext cx="185737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it-IT" sz="1400" b="1" u="sng">
            <a:solidFill>
              <a:schemeClr val="bg1"/>
            </a:solidFill>
            <a:latin typeface="Verdana" panose="020B0604030504040204" pitchFamily="34" charset="0"/>
            <a:ea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98</xdr:row>
      <xdr:rowOff>38100</xdr:rowOff>
    </xdr:from>
    <xdr:to>
      <xdr:col>9</xdr:col>
      <xdr:colOff>476479</xdr:colOff>
      <xdr:row>104</xdr:row>
      <xdr:rowOff>79159</xdr:rowOff>
    </xdr:to>
    <xdr:pic>
      <xdr:nvPicPr>
        <xdr:cNvPr id="29" name="Immagine 28">
          <a:extLst>
            <a:ext uri="{FF2B5EF4-FFF2-40B4-BE49-F238E27FC236}">
              <a16:creationId xmlns:a16="http://schemas.microsoft.com/office/drawing/2014/main" id="{7F1AE7BB-B05F-4E5A-9A63-AE57329C7338}"/>
            </a:ext>
          </a:extLst>
        </xdr:cNvPr>
        <xdr:cNvPicPr>
          <a:picLocks noChangeAspect="1"/>
        </xdr:cNvPicPr>
      </xdr:nvPicPr>
      <xdr:blipFill>
        <a:blip xmlns:r="http://schemas.openxmlformats.org/officeDocument/2006/relationships" r:embed="rId1"/>
        <a:stretch>
          <a:fillRect/>
        </a:stretch>
      </xdr:blipFill>
      <xdr:spPr>
        <a:xfrm>
          <a:off x="2057400" y="18449925"/>
          <a:ext cx="10115779" cy="1012609"/>
        </a:xfrm>
        <a:prstGeom prst="rect">
          <a:avLst/>
        </a:prstGeom>
      </xdr:spPr>
    </xdr:pic>
    <xdr:clientData/>
  </xdr:twoCellAnchor>
  <xdr:twoCellAnchor editAs="oneCell">
    <xdr:from>
      <xdr:col>10</xdr:col>
      <xdr:colOff>2034990</xdr:colOff>
      <xdr:row>32</xdr:row>
      <xdr:rowOff>128879</xdr:rowOff>
    </xdr:from>
    <xdr:to>
      <xdr:col>10</xdr:col>
      <xdr:colOff>2248368</xdr:colOff>
      <xdr:row>33</xdr:row>
      <xdr:rowOff>168589</xdr:rowOff>
    </xdr:to>
    <xdr:pic macro="[0]!Orientamento">
      <xdr:nvPicPr>
        <xdr:cNvPr id="10" name="Immagine 9">
          <a:extLst>
            <a:ext uri="{FF2B5EF4-FFF2-40B4-BE49-F238E27FC236}">
              <a16:creationId xmlns:a16="http://schemas.microsoft.com/office/drawing/2014/main" id="{43103814-053F-4B8F-874F-2B81E67C69B7}"/>
            </a:ext>
          </a:extLst>
        </xdr:cNvPr>
        <xdr:cNvPicPr>
          <a:picLocks noChangeAspect="1"/>
        </xdr:cNvPicPr>
      </xdr:nvPicPr>
      <xdr:blipFill>
        <a:blip xmlns:r="http://schemas.openxmlformats.org/officeDocument/2006/relationships" r:embed="rId2"/>
        <a:stretch>
          <a:fillRect/>
        </a:stretch>
      </xdr:blipFill>
      <xdr:spPr>
        <a:xfrm>
          <a:off x="15000196" y="5608555"/>
          <a:ext cx="213378" cy="234020"/>
        </a:xfrm>
        <a:prstGeom prst="rect">
          <a:avLst/>
        </a:prstGeom>
      </xdr:spPr>
    </xdr:pic>
    <xdr:clientData/>
  </xdr:twoCellAnchor>
  <xdr:twoCellAnchor editAs="oneCell">
    <xdr:from>
      <xdr:col>3</xdr:col>
      <xdr:colOff>0</xdr:colOff>
      <xdr:row>1</xdr:row>
      <xdr:rowOff>0</xdr:rowOff>
    </xdr:from>
    <xdr:to>
      <xdr:col>3</xdr:col>
      <xdr:colOff>1810348</xdr:colOff>
      <xdr:row>6</xdr:row>
      <xdr:rowOff>2189</xdr:rowOff>
    </xdr:to>
    <xdr:pic>
      <xdr:nvPicPr>
        <xdr:cNvPr id="13" name="Immagine 12">
          <a:extLst>
            <a:ext uri="{FF2B5EF4-FFF2-40B4-BE49-F238E27FC236}">
              <a16:creationId xmlns:a16="http://schemas.microsoft.com/office/drawing/2014/main" id="{46BBB3EA-B38E-48A2-B208-1B9D2B472608}"/>
            </a:ext>
          </a:extLst>
        </xdr:cNvPr>
        <xdr:cNvPicPr>
          <a:picLocks noChangeAspect="1"/>
        </xdr:cNvPicPr>
      </xdr:nvPicPr>
      <xdr:blipFill rotWithShape="1">
        <a:blip xmlns:r="http://schemas.openxmlformats.org/officeDocument/2006/relationships" r:embed="rId3"/>
        <a:srcRect l="7792" t="6154" r="5195" b="7679"/>
        <a:stretch/>
      </xdr:blipFill>
      <xdr:spPr>
        <a:xfrm>
          <a:off x="2057400" y="971550"/>
          <a:ext cx="1800823" cy="811814"/>
        </a:xfrm>
        <a:prstGeom prst="rect">
          <a:avLst/>
        </a:prstGeom>
      </xdr:spPr>
    </xdr:pic>
    <xdr:clientData/>
  </xdr:twoCellAnchor>
  <xdr:twoCellAnchor editAs="oneCell">
    <xdr:from>
      <xdr:col>11</xdr:col>
      <xdr:colOff>99885</xdr:colOff>
      <xdr:row>7</xdr:row>
      <xdr:rowOff>71061</xdr:rowOff>
    </xdr:from>
    <xdr:to>
      <xdr:col>17</xdr:col>
      <xdr:colOff>668655</xdr:colOff>
      <xdr:row>24</xdr:row>
      <xdr:rowOff>22448</xdr:rowOff>
    </xdr:to>
    <xdr:pic>
      <xdr:nvPicPr>
        <xdr:cNvPr id="7" name="tcfusion" descr="Immagine che contiene letto, legname&#10;&#10;Descrizione generata automaticamente">
          <a:extLst>
            <a:ext uri="{FF2B5EF4-FFF2-40B4-BE49-F238E27FC236}">
              <a16:creationId xmlns:a16="http://schemas.microsoft.com/office/drawing/2014/main" id="{1E7C8171-CC3D-4962-9358-7D4F1413964A}"/>
            </a:ext>
          </a:extLst>
        </xdr:cNvPr>
        <xdr:cNvPicPr>
          <a:picLocks noChangeAspect="1"/>
        </xdr:cNvPicPr>
      </xdr:nvPicPr>
      <xdr:blipFill>
        <a:blip xmlns:r="http://schemas.openxmlformats.org/officeDocument/2006/relationships" r:embed="rId4"/>
        <a:stretch>
          <a:fillRect/>
        </a:stretch>
      </xdr:blipFill>
      <xdr:spPr>
        <a:xfrm>
          <a:off x="13977810" y="1204536"/>
          <a:ext cx="6529515" cy="2812697"/>
        </a:xfrm>
        <a:prstGeom prst="rect">
          <a:avLst/>
        </a:prstGeom>
      </xdr:spPr>
    </xdr:pic>
    <xdr:clientData/>
  </xdr:twoCellAnchor>
  <xdr:twoCellAnchor>
    <xdr:from>
      <xdr:col>7</xdr:col>
      <xdr:colOff>641700</xdr:colOff>
      <xdr:row>15</xdr:row>
      <xdr:rowOff>141112</xdr:rowOff>
    </xdr:from>
    <xdr:to>
      <xdr:col>10</xdr:col>
      <xdr:colOff>2264760</xdr:colOff>
      <xdr:row>32</xdr:row>
      <xdr:rowOff>3929</xdr:rowOff>
    </xdr:to>
    <xdr:graphicFrame macro="">
      <xdr:nvGraphicFramePr>
        <xdr:cNvPr id="20" name="Orientamento" hidden="1">
          <a:extLst>
            <a:ext uri="{FF2B5EF4-FFF2-40B4-BE49-F238E27FC236}">
              <a16:creationId xmlns:a16="http://schemas.microsoft.com/office/drawing/2014/main" id="{214D1B63-A0E0-44D5-951D-9E986A867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2412882</xdr:colOff>
      <xdr:row>35</xdr:row>
      <xdr:rowOff>11760</xdr:rowOff>
    </xdr:from>
    <xdr:to>
      <xdr:col>10</xdr:col>
      <xdr:colOff>2268887</xdr:colOff>
      <xdr:row>47</xdr:row>
      <xdr:rowOff>22966</xdr:rowOff>
    </xdr:to>
    <xdr:graphicFrame macro="">
      <xdr:nvGraphicFramePr>
        <xdr:cNvPr id="22" name="Graph_section" hidden="1">
          <a:extLst>
            <a:ext uri="{FF2B5EF4-FFF2-40B4-BE49-F238E27FC236}">
              <a16:creationId xmlns:a16="http://schemas.microsoft.com/office/drawing/2014/main" id="{72FD4DC2-33EB-400B-8B9C-1A3BC973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166868</xdr:colOff>
      <xdr:row>47</xdr:row>
      <xdr:rowOff>23522</xdr:rowOff>
    </xdr:from>
    <xdr:to>
      <xdr:col>10</xdr:col>
      <xdr:colOff>2267361</xdr:colOff>
      <xdr:row>59</xdr:row>
      <xdr:rowOff>16694</xdr:rowOff>
    </xdr:to>
    <xdr:graphicFrame macro="">
      <xdr:nvGraphicFramePr>
        <xdr:cNvPr id="23" name="Graph_position" hidden="1">
          <a:extLst>
            <a:ext uri="{FF2B5EF4-FFF2-40B4-BE49-F238E27FC236}">
              <a16:creationId xmlns:a16="http://schemas.microsoft.com/office/drawing/2014/main" id="{000F76FA-FC0C-4B2B-A4E2-45D3B691E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723899</xdr:colOff>
      <xdr:row>42</xdr:row>
      <xdr:rowOff>152400</xdr:rowOff>
    </xdr:from>
    <xdr:to>
      <xdr:col>3</xdr:col>
      <xdr:colOff>1803899</xdr:colOff>
      <xdr:row>46</xdr:row>
      <xdr:rowOff>38400</xdr:rowOff>
    </xdr:to>
    <xdr:sp macro="" textlink="">
      <xdr:nvSpPr>
        <xdr:cNvPr id="5" name="Rettangolo con angoli arrotondati 4">
          <a:hlinkClick xmlns:r="http://schemas.openxmlformats.org/officeDocument/2006/relationships" r:id="rId8"/>
          <a:extLst>
            <a:ext uri="{FF2B5EF4-FFF2-40B4-BE49-F238E27FC236}">
              <a16:creationId xmlns:a16="http://schemas.microsoft.com/office/drawing/2014/main" id="{FC47D9D0-4081-F16F-4837-BD49E10223DE}"/>
            </a:ext>
          </a:extLst>
        </xdr:cNvPr>
        <xdr:cNvSpPr/>
      </xdr:nvSpPr>
      <xdr:spPr>
        <a:xfrm>
          <a:off x="2781299" y="7572375"/>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rPr>
            <a:t>SCREWS</a:t>
          </a:r>
          <a:r>
            <a:rPr lang="it-IT" sz="1000" b="1" baseline="0">
              <a:solidFill>
                <a:sysClr val="windowText" lastClr="000000"/>
              </a:solidFill>
              <a:effectLst/>
            </a:rPr>
            <a: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714374</xdr:colOff>
      <xdr:row>55</xdr:row>
      <xdr:rowOff>47625</xdr:rowOff>
    </xdr:from>
    <xdr:to>
      <xdr:col>3</xdr:col>
      <xdr:colOff>1794374</xdr:colOff>
      <xdr:row>58</xdr:row>
      <xdr:rowOff>124125</xdr:rowOff>
    </xdr:to>
    <xdr:sp macro="" textlink="">
      <xdr:nvSpPr>
        <xdr:cNvPr id="8" name="Rettangolo con angoli arrotondati 7">
          <a:hlinkClick xmlns:r="http://schemas.openxmlformats.org/officeDocument/2006/relationships" r:id="rId9"/>
          <a:extLst>
            <a:ext uri="{FF2B5EF4-FFF2-40B4-BE49-F238E27FC236}">
              <a16:creationId xmlns:a16="http://schemas.microsoft.com/office/drawing/2014/main" id="{A1EE0977-2606-472F-A83A-8F1659A99CBC}"/>
            </a:ext>
          </a:extLst>
        </xdr:cNvPr>
        <xdr:cNvSpPr/>
      </xdr:nvSpPr>
      <xdr:spPr>
        <a:xfrm>
          <a:off x="2771774" y="99441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CONCRETE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723899</xdr:colOff>
      <xdr:row>71</xdr:row>
      <xdr:rowOff>57150</xdr:rowOff>
    </xdr:from>
    <xdr:to>
      <xdr:col>3</xdr:col>
      <xdr:colOff>1803899</xdr:colOff>
      <xdr:row>74</xdr:row>
      <xdr:rowOff>133650</xdr:rowOff>
    </xdr:to>
    <xdr:sp macro="" textlink="">
      <xdr:nvSpPr>
        <xdr:cNvPr id="9" name="Rettangolo con angoli arrotondati 8">
          <a:hlinkClick xmlns:r="http://schemas.openxmlformats.org/officeDocument/2006/relationships" r:id="rId10"/>
          <a:extLst>
            <a:ext uri="{FF2B5EF4-FFF2-40B4-BE49-F238E27FC236}">
              <a16:creationId xmlns:a16="http://schemas.microsoft.com/office/drawing/2014/main" id="{F14ECD34-78BF-4693-BA3D-01F297D70783}"/>
            </a:ext>
          </a:extLst>
        </xdr:cNvPr>
        <xdr:cNvSpPr/>
      </xdr:nvSpPr>
      <xdr:spPr>
        <a:xfrm>
          <a:off x="2781299" y="13001625"/>
          <a:ext cx="1080000" cy="64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EDGE DISTANCE</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editAs="oneCell">
    <xdr:from>
      <xdr:col>3</xdr:col>
      <xdr:colOff>1869722</xdr:colOff>
      <xdr:row>22</xdr:row>
      <xdr:rowOff>82315</xdr:rowOff>
    </xdr:from>
    <xdr:to>
      <xdr:col>3</xdr:col>
      <xdr:colOff>2079290</xdr:colOff>
      <xdr:row>23</xdr:row>
      <xdr:rowOff>129645</xdr:rowOff>
    </xdr:to>
    <xdr:pic macro="[0]!Loads">
      <xdr:nvPicPr>
        <xdr:cNvPr id="4" name="Immagine 3">
          <a:extLst>
            <a:ext uri="{FF2B5EF4-FFF2-40B4-BE49-F238E27FC236}">
              <a16:creationId xmlns:a16="http://schemas.microsoft.com/office/drawing/2014/main" id="{4DA2EA95-47E6-4C35-B908-F5BD885ABF3F}"/>
            </a:ext>
          </a:extLst>
        </xdr:cNvPr>
        <xdr:cNvPicPr>
          <a:picLocks noChangeAspect="1"/>
        </xdr:cNvPicPr>
      </xdr:nvPicPr>
      <xdr:blipFill>
        <a:blip xmlns:r="http://schemas.openxmlformats.org/officeDocument/2006/relationships" r:embed="rId2"/>
        <a:stretch>
          <a:fillRect/>
        </a:stretch>
      </xdr:blipFill>
      <xdr:spPr>
        <a:xfrm>
          <a:off x="3915833" y="3680648"/>
          <a:ext cx="213378" cy="231668"/>
        </a:xfrm>
        <a:prstGeom prst="rect">
          <a:avLst/>
        </a:prstGeom>
      </xdr:spPr>
    </xdr:pic>
    <xdr:clientData/>
  </xdr:twoCellAnchor>
  <xdr:twoCellAnchor editAs="oneCell">
    <xdr:from>
      <xdr:col>3</xdr:col>
      <xdr:colOff>1551285</xdr:colOff>
      <xdr:row>41</xdr:row>
      <xdr:rowOff>69613</xdr:rowOff>
    </xdr:from>
    <xdr:to>
      <xdr:col>3</xdr:col>
      <xdr:colOff>1768473</xdr:colOff>
      <xdr:row>42</xdr:row>
      <xdr:rowOff>113133</xdr:rowOff>
    </xdr:to>
    <xdr:pic macro="[0]!Graph">
      <xdr:nvPicPr>
        <xdr:cNvPr id="11" name="Immagine 10">
          <a:extLst>
            <a:ext uri="{FF2B5EF4-FFF2-40B4-BE49-F238E27FC236}">
              <a16:creationId xmlns:a16="http://schemas.microsoft.com/office/drawing/2014/main" id="{8801D84B-47D7-497A-B708-02ACAA0B550B}"/>
            </a:ext>
          </a:extLst>
        </xdr:cNvPr>
        <xdr:cNvPicPr>
          <a:picLocks noChangeAspect="1"/>
        </xdr:cNvPicPr>
      </xdr:nvPicPr>
      <xdr:blipFill>
        <a:blip xmlns:r="http://schemas.openxmlformats.org/officeDocument/2006/relationships" r:embed="rId2"/>
        <a:stretch>
          <a:fillRect/>
        </a:stretch>
      </xdr:blipFill>
      <xdr:spPr>
        <a:xfrm>
          <a:off x="3597396" y="7242761"/>
          <a:ext cx="213378" cy="231668"/>
        </a:xfrm>
        <a:prstGeom prst="rect">
          <a:avLst/>
        </a:prstGeom>
      </xdr:spPr>
    </xdr:pic>
    <xdr:clientData/>
  </xdr:twoCellAnchor>
  <xdr:twoCellAnchor editAs="oneCell">
    <xdr:from>
      <xdr:col>3</xdr:col>
      <xdr:colOff>2061883</xdr:colOff>
      <xdr:row>69</xdr:row>
      <xdr:rowOff>179293</xdr:rowOff>
    </xdr:from>
    <xdr:to>
      <xdr:col>3</xdr:col>
      <xdr:colOff>2265736</xdr:colOff>
      <xdr:row>71</xdr:row>
      <xdr:rowOff>18978</xdr:rowOff>
    </xdr:to>
    <xdr:pic macro="[0]!geomeff">
      <xdr:nvPicPr>
        <xdr:cNvPr id="15" name="Immagine 14">
          <a:extLst>
            <a:ext uri="{FF2B5EF4-FFF2-40B4-BE49-F238E27FC236}">
              <a16:creationId xmlns:a16="http://schemas.microsoft.com/office/drawing/2014/main" id="{EEF6CBC9-907F-49CD-BB4F-B08ADF2DAA85}"/>
            </a:ext>
          </a:extLst>
        </xdr:cNvPr>
        <xdr:cNvPicPr>
          <a:picLocks noChangeAspect="1"/>
        </xdr:cNvPicPr>
      </xdr:nvPicPr>
      <xdr:blipFill>
        <a:blip xmlns:r="http://schemas.openxmlformats.org/officeDocument/2006/relationships" r:embed="rId2"/>
        <a:stretch>
          <a:fillRect/>
        </a:stretch>
      </xdr:blipFill>
      <xdr:spPr>
        <a:xfrm>
          <a:off x="4112559" y="12707469"/>
          <a:ext cx="213378" cy="234020"/>
        </a:xfrm>
        <a:prstGeom prst="rect">
          <a:avLst/>
        </a:prstGeom>
      </xdr:spPr>
    </xdr:pic>
    <xdr:clientData/>
  </xdr:twoCellAnchor>
  <xdr:twoCellAnchor>
    <xdr:from>
      <xdr:col>3</xdr:col>
      <xdr:colOff>723899</xdr:colOff>
      <xdr:row>30</xdr:row>
      <xdr:rowOff>85725</xdr:rowOff>
    </xdr:from>
    <xdr:to>
      <xdr:col>3</xdr:col>
      <xdr:colOff>1803899</xdr:colOff>
      <xdr:row>33</xdr:row>
      <xdr:rowOff>162225</xdr:rowOff>
    </xdr:to>
    <xdr:sp macro="" textlink="">
      <xdr:nvSpPr>
        <xdr:cNvPr id="2" name="Rettangolo con angoli arrotondati 1">
          <a:hlinkClick xmlns:r="http://schemas.openxmlformats.org/officeDocument/2006/relationships" r:id="rId11"/>
          <a:extLst>
            <a:ext uri="{FF2B5EF4-FFF2-40B4-BE49-F238E27FC236}">
              <a16:creationId xmlns:a16="http://schemas.microsoft.com/office/drawing/2014/main" id="{10E87DE0-E85D-4E0B-95B8-915A644BEF28}"/>
            </a:ext>
          </a:extLst>
        </xdr:cNvPr>
        <xdr:cNvSpPr/>
      </xdr:nvSpPr>
      <xdr:spPr>
        <a:xfrm>
          <a:off x="1409699" y="52197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9525</xdr:colOff>
      <xdr:row>95</xdr:row>
      <xdr:rowOff>142875</xdr:rowOff>
    </xdr:from>
    <xdr:to>
      <xdr:col>6</xdr:col>
      <xdr:colOff>1856700</xdr:colOff>
      <xdr:row>98</xdr:row>
      <xdr:rowOff>96525</xdr:rowOff>
    </xdr:to>
    <xdr:sp macro="" textlink="">
      <xdr:nvSpPr>
        <xdr:cNvPr id="6" name="Rettangolo con angoli arrotondati 5">
          <a:hlinkClick xmlns:r="http://schemas.openxmlformats.org/officeDocument/2006/relationships" r:id="rId12"/>
          <a:extLst>
            <a:ext uri="{FF2B5EF4-FFF2-40B4-BE49-F238E27FC236}">
              <a16:creationId xmlns:a16="http://schemas.microsoft.com/office/drawing/2014/main" id="{1EE9D7A9-DDCC-4722-995F-E95A639FD927}"/>
            </a:ext>
          </a:extLst>
        </xdr:cNvPr>
        <xdr:cNvSpPr/>
      </xdr:nvSpPr>
      <xdr:spPr>
        <a:xfrm>
          <a:off x="2066925" y="18040350"/>
          <a:ext cx="5400000" cy="46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9</xdr:col>
      <xdr:colOff>649999</xdr:colOff>
      <xdr:row>2</xdr:row>
      <xdr:rowOff>139591</xdr:rowOff>
    </xdr:from>
    <xdr:to>
      <xdr:col>10</xdr:col>
      <xdr:colOff>2264224</xdr:colOff>
      <xdr:row>3</xdr:row>
      <xdr:rowOff>131425</xdr:rowOff>
    </xdr:to>
    <xdr:pic>
      <xdr:nvPicPr>
        <xdr:cNvPr id="21" name="Immagine 20">
          <a:extLst>
            <a:ext uri="{FF2B5EF4-FFF2-40B4-BE49-F238E27FC236}">
              <a16:creationId xmlns:a16="http://schemas.microsoft.com/office/drawing/2014/main" id="{08F6E3EA-2AB3-277D-BCEB-380851B10FAF}"/>
            </a:ext>
          </a:extLst>
        </xdr:cNvPr>
        <xdr:cNvPicPr>
          <a:picLocks noChangeAspect="1"/>
        </xdr:cNvPicPr>
      </xdr:nvPicPr>
      <xdr:blipFill>
        <a:blip xmlns:r="http://schemas.openxmlformats.org/officeDocument/2006/relationships" r:embed="rId13"/>
        <a:stretch>
          <a:fillRect/>
        </a:stretch>
      </xdr:blipFill>
      <xdr:spPr>
        <a:xfrm>
          <a:off x="12336189" y="468039"/>
          <a:ext cx="2880985" cy="159868"/>
        </a:xfrm>
        <a:prstGeom prst="rect">
          <a:avLst/>
        </a:prstGeom>
      </xdr:spPr>
    </xdr:pic>
    <xdr:clientData/>
  </xdr:twoCellAnchor>
  <xdr:twoCellAnchor editAs="oneCell">
    <xdr:from>
      <xdr:col>3</xdr:col>
      <xdr:colOff>1734112</xdr:colOff>
      <xdr:row>79</xdr:row>
      <xdr:rowOff>172569</xdr:rowOff>
    </xdr:from>
    <xdr:to>
      <xdr:col>3</xdr:col>
      <xdr:colOff>1958920</xdr:colOff>
      <xdr:row>81</xdr:row>
      <xdr:rowOff>21779</xdr:rowOff>
    </xdr:to>
    <xdr:pic macro="[0]!verifiche">
      <xdr:nvPicPr>
        <xdr:cNvPr id="25" name="Immagine 24">
          <a:extLst>
            <a:ext uri="{FF2B5EF4-FFF2-40B4-BE49-F238E27FC236}">
              <a16:creationId xmlns:a16="http://schemas.microsoft.com/office/drawing/2014/main" id="{2B59C37A-F709-4433-B573-C94E92136222}"/>
            </a:ext>
          </a:extLst>
        </xdr:cNvPr>
        <xdr:cNvPicPr>
          <a:picLocks noChangeAspect="1"/>
        </xdr:cNvPicPr>
      </xdr:nvPicPr>
      <xdr:blipFill>
        <a:blip xmlns:r="http://schemas.openxmlformats.org/officeDocument/2006/relationships" r:embed="rId2"/>
        <a:stretch>
          <a:fillRect/>
        </a:stretch>
      </xdr:blipFill>
      <xdr:spPr>
        <a:xfrm>
          <a:off x="2417671" y="14605745"/>
          <a:ext cx="213378" cy="234020"/>
        </a:xfrm>
        <a:prstGeom prst="rect">
          <a:avLst/>
        </a:prstGeom>
      </xdr:spPr>
    </xdr:pic>
    <xdr:clientData/>
  </xdr:twoCellAnchor>
  <xdr:twoCellAnchor editAs="oneCell">
    <xdr:from>
      <xdr:col>10</xdr:col>
      <xdr:colOff>637764</xdr:colOff>
      <xdr:row>1</xdr:row>
      <xdr:rowOff>19050</xdr:rowOff>
    </xdr:from>
    <xdr:to>
      <xdr:col>10</xdr:col>
      <xdr:colOff>1011099</xdr:colOff>
      <xdr:row>2</xdr:row>
      <xdr:rowOff>130527</xdr:rowOff>
    </xdr:to>
    <xdr:pic>
      <xdr:nvPicPr>
        <xdr:cNvPr id="28" name="Immagine 27">
          <a:extLst>
            <a:ext uri="{FF2B5EF4-FFF2-40B4-BE49-F238E27FC236}">
              <a16:creationId xmlns:a16="http://schemas.microsoft.com/office/drawing/2014/main" id="{8955E80F-739E-4CDD-895B-156FB6BBC5BE}"/>
            </a:ext>
          </a:extLst>
        </xdr:cNvPr>
        <xdr:cNvPicPr>
          <a:picLocks noChangeAspect="1"/>
        </xdr:cNvPicPr>
      </xdr:nvPicPr>
      <xdr:blipFill rotWithShape="1">
        <a:blip xmlns:r="http://schemas.openxmlformats.org/officeDocument/2006/relationships" r:embed="rId14"/>
        <a:srcRect l="22007" r="16090"/>
        <a:stretch/>
      </xdr:blipFill>
      <xdr:spPr>
        <a:xfrm>
          <a:off x="13616612" y="184702"/>
          <a:ext cx="360000" cy="273319"/>
        </a:xfrm>
        <a:prstGeom prst="rect">
          <a:avLst/>
        </a:prstGeom>
      </xdr:spPr>
    </xdr:pic>
    <xdr:clientData/>
  </xdr:twoCellAnchor>
  <xdr:twoCellAnchor>
    <xdr:from>
      <xdr:col>11</xdr:col>
      <xdr:colOff>133349</xdr:colOff>
      <xdr:row>1</xdr:row>
      <xdr:rowOff>0</xdr:rowOff>
    </xdr:from>
    <xdr:to>
      <xdr:col>12</xdr:col>
      <xdr:colOff>152399</xdr:colOff>
      <xdr:row>7</xdr:row>
      <xdr:rowOff>38100</xdr:rowOff>
    </xdr:to>
    <xdr:sp macro="[0]!ExportCompleteReportPDF" textlink="">
      <xdr:nvSpPr>
        <xdr:cNvPr id="17" name="CasellaDiTesto 16">
          <a:extLst>
            <a:ext uri="{FF2B5EF4-FFF2-40B4-BE49-F238E27FC236}">
              <a16:creationId xmlns:a16="http://schemas.microsoft.com/office/drawing/2014/main" id="{AF421F83-538C-EE2A-6E39-355DB5B5B7ED}"/>
            </a:ext>
          </a:extLst>
        </xdr:cNvPr>
        <xdr:cNvSpPr txBox="1"/>
      </xdr:nvSpPr>
      <xdr:spPr>
        <a:xfrm>
          <a:off x="14011274"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Complete Report</a:t>
          </a:r>
        </a:p>
      </xdr:txBody>
    </xdr:sp>
    <xdr:clientData/>
  </xdr:twoCellAnchor>
  <xdr:twoCellAnchor editAs="oneCell">
    <xdr:from>
      <xdr:col>11</xdr:col>
      <xdr:colOff>466725</xdr:colOff>
      <xdr:row>2</xdr:row>
      <xdr:rowOff>133350</xdr:rowOff>
    </xdr:from>
    <xdr:to>
      <xdr:col>11</xdr:col>
      <xdr:colOff>1007029</xdr:colOff>
      <xdr:row>6</xdr:row>
      <xdr:rowOff>134169</xdr:rowOff>
    </xdr:to>
    <xdr:pic macro="[0]!ExportCompleteReportPDF">
      <xdr:nvPicPr>
        <xdr:cNvPr id="3" name="Immagine 2">
          <a:extLst>
            <a:ext uri="{FF2B5EF4-FFF2-40B4-BE49-F238E27FC236}">
              <a16:creationId xmlns:a16="http://schemas.microsoft.com/office/drawing/2014/main" id="{E504FC57-3C6F-460B-A097-588925537CF2}"/>
            </a:ext>
          </a:extLst>
        </xdr:cNvPr>
        <xdr:cNvPicPr>
          <a:picLocks noChangeAspect="1"/>
        </xdr:cNvPicPr>
      </xdr:nvPicPr>
      <xdr:blipFill>
        <a:blip xmlns:r="http://schemas.openxmlformats.org/officeDocument/2006/relationships" r:embed="rId15"/>
        <a:stretch>
          <a:fillRect/>
        </a:stretch>
      </xdr:blipFill>
      <xdr:spPr>
        <a:xfrm>
          <a:off x="14344650" y="457200"/>
          <a:ext cx="536494" cy="652329"/>
        </a:xfrm>
        <a:prstGeom prst="rect">
          <a:avLst/>
        </a:prstGeom>
      </xdr:spPr>
    </xdr:pic>
    <xdr:clientData/>
  </xdr:twoCellAnchor>
  <xdr:twoCellAnchor>
    <xdr:from>
      <xdr:col>12</xdr:col>
      <xdr:colOff>238125</xdr:colOff>
      <xdr:row>1</xdr:row>
      <xdr:rowOff>0</xdr:rowOff>
    </xdr:from>
    <xdr:to>
      <xdr:col>14</xdr:col>
      <xdr:colOff>76200</xdr:colOff>
      <xdr:row>7</xdr:row>
      <xdr:rowOff>38100</xdr:rowOff>
    </xdr:to>
    <xdr:sp macro="[0]!ExportShortReportPDF" textlink="">
      <xdr:nvSpPr>
        <xdr:cNvPr id="18" name="CasellaDiTesto 17">
          <a:extLst>
            <a:ext uri="{FF2B5EF4-FFF2-40B4-BE49-F238E27FC236}">
              <a16:creationId xmlns:a16="http://schemas.microsoft.com/office/drawing/2014/main" id="{0C54AB23-17CD-4D89-ACE9-27E41CFB0548}"/>
            </a:ext>
          </a:extLst>
        </xdr:cNvPr>
        <xdr:cNvSpPr txBox="1"/>
      </xdr:nvSpPr>
      <xdr:spPr>
        <a:xfrm>
          <a:off x="153066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Short Report</a:t>
          </a:r>
        </a:p>
      </xdr:txBody>
    </xdr:sp>
    <xdr:clientData/>
  </xdr:twoCellAnchor>
  <xdr:twoCellAnchor editAs="oneCell">
    <xdr:from>
      <xdr:col>12</xdr:col>
      <xdr:colOff>571501</xdr:colOff>
      <xdr:row>2</xdr:row>
      <xdr:rowOff>133350</xdr:rowOff>
    </xdr:from>
    <xdr:to>
      <xdr:col>13</xdr:col>
      <xdr:colOff>422196</xdr:colOff>
      <xdr:row>6</xdr:row>
      <xdr:rowOff>134169</xdr:rowOff>
    </xdr:to>
    <xdr:pic macro="[0]!ExportShortReportPDF">
      <xdr:nvPicPr>
        <xdr:cNvPr id="19" name="Immagine 18">
          <a:extLst>
            <a:ext uri="{FF2B5EF4-FFF2-40B4-BE49-F238E27FC236}">
              <a16:creationId xmlns:a16="http://schemas.microsoft.com/office/drawing/2014/main" id="{A2FADD30-B092-47F4-BCF0-A1BB446FE850}"/>
            </a:ext>
          </a:extLst>
        </xdr:cNvPr>
        <xdr:cNvPicPr>
          <a:picLocks noChangeAspect="1"/>
        </xdr:cNvPicPr>
      </xdr:nvPicPr>
      <xdr:blipFill>
        <a:blip xmlns:r="http://schemas.openxmlformats.org/officeDocument/2006/relationships" r:embed="rId15"/>
        <a:stretch>
          <a:fillRect/>
        </a:stretch>
      </xdr:blipFill>
      <xdr:spPr>
        <a:xfrm>
          <a:off x="15640051" y="457200"/>
          <a:ext cx="536494" cy="652329"/>
        </a:xfrm>
        <a:prstGeom prst="rect">
          <a:avLst/>
        </a:prstGeom>
      </xdr:spPr>
    </xdr:pic>
    <xdr:clientData/>
  </xdr:twoCellAnchor>
  <xdr:twoCellAnchor editAs="oneCell">
    <xdr:from>
      <xdr:col>6</xdr:col>
      <xdr:colOff>2410946</xdr:colOff>
      <xdr:row>56</xdr:row>
      <xdr:rowOff>26335</xdr:rowOff>
    </xdr:from>
    <xdr:to>
      <xdr:col>10</xdr:col>
      <xdr:colOff>2258206</xdr:colOff>
      <xdr:row>76</xdr:row>
      <xdr:rowOff>82976</xdr:rowOff>
    </xdr:to>
    <xdr:pic>
      <xdr:nvPicPr>
        <xdr:cNvPr id="12" name="verif" hidden="1">
          <a:extLst>
            <a:ext uri="{FF2B5EF4-FFF2-40B4-BE49-F238E27FC236}">
              <a16:creationId xmlns:a16="http://schemas.microsoft.com/office/drawing/2014/main" id="{6B8A8EE0-3D78-80B6-9D83-E7A584784C51}"/>
            </a:ext>
          </a:extLst>
        </xdr:cNvPr>
        <xdr:cNvPicPr>
          <a:picLocks noChangeAspect="1"/>
        </xdr:cNvPicPr>
      </xdr:nvPicPr>
      <xdr:blipFill>
        <a:blip xmlns:r="http://schemas.openxmlformats.org/officeDocument/2006/relationships" r:embed="rId16"/>
        <a:stretch>
          <a:fillRect/>
        </a:stretch>
      </xdr:blipFill>
      <xdr:spPr>
        <a:xfrm>
          <a:off x="8021171" y="10494310"/>
          <a:ext cx="7210085" cy="3866641"/>
        </a:xfrm>
        <a:prstGeom prst="rect">
          <a:avLst/>
        </a:prstGeom>
        <a:ln w="28575">
          <a:solidFill>
            <a:schemeClr val="tx1"/>
          </a:solidFill>
        </a:ln>
      </xdr:spPr>
    </xdr:pic>
    <xdr:clientData/>
  </xdr:twoCellAnchor>
  <xdr:twoCellAnchor editAs="oneCell">
    <xdr:from>
      <xdr:col>7</xdr:col>
      <xdr:colOff>502026</xdr:colOff>
      <xdr:row>95</xdr:row>
      <xdr:rowOff>101974</xdr:rowOff>
    </xdr:from>
    <xdr:to>
      <xdr:col>10</xdr:col>
      <xdr:colOff>2253727</xdr:colOff>
      <xdr:row>100</xdr:row>
      <xdr:rowOff>155211</xdr:rowOff>
    </xdr:to>
    <xdr:pic>
      <xdr:nvPicPr>
        <xdr:cNvPr id="26" name="RotStiff" hidden="1">
          <a:extLst>
            <a:ext uri="{FF2B5EF4-FFF2-40B4-BE49-F238E27FC236}">
              <a16:creationId xmlns:a16="http://schemas.microsoft.com/office/drawing/2014/main" id="{CAB59C82-8F8B-8BE2-DD47-2DA9635CFF37}"/>
            </a:ext>
          </a:extLst>
        </xdr:cNvPr>
        <xdr:cNvPicPr>
          <a:picLocks noChangeAspect="1"/>
        </xdr:cNvPicPr>
      </xdr:nvPicPr>
      <xdr:blipFill>
        <a:blip xmlns:r="http://schemas.openxmlformats.org/officeDocument/2006/relationships" r:embed="rId17"/>
        <a:stretch>
          <a:fillRect/>
        </a:stretch>
      </xdr:blipFill>
      <xdr:spPr>
        <a:xfrm>
          <a:off x="9817476" y="17999449"/>
          <a:ext cx="5409301" cy="891437"/>
        </a:xfrm>
        <a:prstGeom prst="rect">
          <a:avLst/>
        </a:prstGeom>
        <a:ln w="28575">
          <a:solidFill>
            <a:schemeClr val="tx1"/>
          </a:solidFill>
        </a:ln>
      </xdr:spPr>
    </xdr:pic>
    <xdr:clientData/>
  </xdr:twoCellAnchor>
  <xdr:twoCellAnchor editAs="oneCell">
    <xdr:from>
      <xdr:col>4</xdr:col>
      <xdr:colOff>42025</xdr:colOff>
      <xdr:row>93</xdr:row>
      <xdr:rowOff>150157</xdr:rowOff>
    </xdr:from>
    <xdr:to>
      <xdr:col>4</xdr:col>
      <xdr:colOff>245878</xdr:colOff>
      <xdr:row>95</xdr:row>
      <xdr:rowOff>3177</xdr:rowOff>
    </xdr:to>
    <xdr:pic macro="[0]!RotationalStiffness">
      <xdr:nvPicPr>
        <xdr:cNvPr id="27" name="Immagine 26">
          <a:extLst>
            <a:ext uri="{FF2B5EF4-FFF2-40B4-BE49-F238E27FC236}">
              <a16:creationId xmlns:a16="http://schemas.microsoft.com/office/drawing/2014/main" id="{5C738CB6-E79B-467D-8323-72EB0AF4EFCE}"/>
            </a:ext>
          </a:extLst>
        </xdr:cNvPr>
        <xdr:cNvPicPr>
          <a:picLocks noChangeAspect="1"/>
        </xdr:cNvPicPr>
      </xdr:nvPicPr>
      <xdr:blipFill>
        <a:blip xmlns:r="http://schemas.openxmlformats.org/officeDocument/2006/relationships" r:embed="rId2"/>
        <a:stretch>
          <a:fillRect/>
        </a:stretch>
      </xdr:blipFill>
      <xdr:spPr>
        <a:xfrm>
          <a:off x="4569201" y="17631333"/>
          <a:ext cx="213378" cy="234020"/>
        </a:xfrm>
        <a:prstGeom prst="rect">
          <a:avLst/>
        </a:prstGeom>
      </xdr:spPr>
    </xdr:pic>
    <xdr:clientData/>
  </xdr:twoCellAnchor>
  <xdr:twoCellAnchor editAs="oneCell">
    <xdr:from>
      <xdr:col>6</xdr:col>
      <xdr:colOff>2409825</xdr:colOff>
      <xdr:row>44</xdr:row>
      <xdr:rowOff>142874</xdr:rowOff>
    </xdr:from>
    <xdr:to>
      <xdr:col>10</xdr:col>
      <xdr:colOff>2254620</xdr:colOff>
      <xdr:row>64</xdr:row>
      <xdr:rowOff>91916</xdr:rowOff>
    </xdr:to>
    <xdr:pic>
      <xdr:nvPicPr>
        <xdr:cNvPr id="30" name="geometryeff" hidden="1">
          <a:extLst>
            <a:ext uri="{FF2B5EF4-FFF2-40B4-BE49-F238E27FC236}">
              <a16:creationId xmlns:a16="http://schemas.microsoft.com/office/drawing/2014/main" id="{51B85FFB-9D82-441F-98A9-DF59DE13C8EF}"/>
            </a:ext>
          </a:extLst>
        </xdr:cNvPr>
        <xdr:cNvPicPr>
          <a:picLocks noChangeAspect="1"/>
        </xdr:cNvPicPr>
      </xdr:nvPicPr>
      <xdr:blipFill rotWithShape="1">
        <a:blip xmlns:r="http://schemas.openxmlformats.org/officeDocument/2006/relationships" r:embed="rId18"/>
        <a:srcRect t="5082"/>
        <a:stretch/>
      </xdr:blipFill>
      <xdr:spPr>
        <a:xfrm>
          <a:off x="8020050" y="8324849"/>
          <a:ext cx="7207620" cy="3759042"/>
        </a:xfrm>
        <a:prstGeom prst="rect">
          <a:avLst/>
        </a:prstGeom>
        <a:ln w="28575">
          <a:solidFill>
            <a:schemeClr val="tx1"/>
          </a:solidFill>
        </a:ln>
      </xdr:spPr>
    </xdr:pic>
    <xdr:clientData/>
  </xdr:twoCellAnchor>
  <xdr:twoCellAnchor>
    <xdr:from>
      <xdr:col>14</xdr:col>
      <xdr:colOff>161925</xdr:colOff>
      <xdr:row>1</xdr:row>
      <xdr:rowOff>0</xdr:rowOff>
    </xdr:from>
    <xdr:to>
      <xdr:col>14</xdr:col>
      <xdr:colOff>1371600</xdr:colOff>
      <xdr:row>7</xdr:row>
      <xdr:rowOff>38100</xdr:rowOff>
    </xdr:to>
    <xdr:sp macro="[0]!Z_Salvataggio.SaveWork1" textlink="">
      <xdr:nvSpPr>
        <xdr:cNvPr id="14" name="CasellaDiTesto 13">
          <a:extLst>
            <a:ext uri="{FF2B5EF4-FFF2-40B4-BE49-F238E27FC236}">
              <a16:creationId xmlns:a16="http://schemas.microsoft.com/office/drawing/2014/main" id="{FAA41AAE-C3CF-4839-9919-552BFDCF412E}"/>
            </a:ext>
          </a:extLst>
        </xdr:cNvPr>
        <xdr:cNvSpPr txBox="1"/>
      </xdr:nvSpPr>
      <xdr:spPr>
        <a:xfrm>
          <a:off x="166020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Save&amp;Exit</a:t>
          </a:r>
        </a:p>
      </xdr:txBody>
    </xdr:sp>
    <xdr:clientData/>
  </xdr:twoCellAnchor>
  <xdr:twoCellAnchor editAs="oneCell">
    <xdr:from>
      <xdr:col>14</xdr:col>
      <xdr:colOff>409575</xdr:colOff>
      <xdr:row>2</xdr:row>
      <xdr:rowOff>104775</xdr:rowOff>
    </xdr:from>
    <xdr:to>
      <xdr:col>14</xdr:col>
      <xdr:colOff>1125765</xdr:colOff>
      <xdr:row>7</xdr:row>
      <xdr:rowOff>18960</xdr:rowOff>
    </xdr:to>
    <xdr:pic macro="[0]!SaveWork1">
      <xdr:nvPicPr>
        <xdr:cNvPr id="33" name="Immagine 32">
          <a:extLst>
            <a:ext uri="{FF2B5EF4-FFF2-40B4-BE49-F238E27FC236}">
              <a16:creationId xmlns:a16="http://schemas.microsoft.com/office/drawing/2014/main" id="{66EBBB1F-916A-8B7A-7DC4-9985C5B393F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849725" y="428625"/>
          <a:ext cx="720000" cy="720000"/>
        </a:xfrm>
        <a:prstGeom prst="rect">
          <a:avLst/>
        </a:prstGeom>
      </xdr:spPr>
    </xdr:pic>
    <xdr:clientData/>
  </xdr:twoCellAnchor>
  <xdr:twoCellAnchor editAs="oneCell">
    <xdr:from>
      <xdr:col>6</xdr:col>
      <xdr:colOff>619125</xdr:colOff>
      <xdr:row>28</xdr:row>
      <xdr:rowOff>114300</xdr:rowOff>
    </xdr:from>
    <xdr:to>
      <xdr:col>10</xdr:col>
      <xdr:colOff>2256300</xdr:colOff>
      <xdr:row>55</xdr:row>
      <xdr:rowOff>60544</xdr:rowOff>
    </xdr:to>
    <xdr:pic>
      <xdr:nvPicPr>
        <xdr:cNvPr id="31" name="Concept" hidden="1">
          <a:extLst>
            <a:ext uri="{FF2B5EF4-FFF2-40B4-BE49-F238E27FC236}">
              <a16:creationId xmlns:a16="http://schemas.microsoft.com/office/drawing/2014/main" id="{8D63BD2A-4D87-F93D-B317-7DE8890630E9}"/>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57750" y="4867275"/>
          <a:ext cx="9000000" cy="508974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3</xdr:col>
      <xdr:colOff>0</xdr:colOff>
      <xdr:row>62</xdr:row>
      <xdr:rowOff>0</xdr:rowOff>
    </xdr:from>
    <xdr:to>
      <xdr:col>3</xdr:col>
      <xdr:colOff>1806538</xdr:colOff>
      <xdr:row>67</xdr:row>
      <xdr:rowOff>21687</xdr:rowOff>
    </xdr:to>
    <xdr:pic>
      <xdr:nvPicPr>
        <xdr:cNvPr id="10" name="Immagine 9">
          <a:extLst>
            <a:ext uri="{FF2B5EF4-FFF2-40B4-BE49-F238E27FC236}">
              <a16:creationId xmlns:a16="http://schemas.microsoft.com/office/drawing/2014/main" id="{D4AF31BC-007C-451A-A7E9-90BB442F98AE}"/>
            </a:ext>
          </a:extLst>
        </xdr:cNvPr>
        <xdr:cNvPicPr>
          <a:picLocks noChangeAspect="1"/>
        </xdr:cNvPicPr>
      </xdr:nvPicPr>
      <xdr:blipFill rotWithShape="1">
        <a:blip xmlns:r="http://schemas.openxmlformats.org/officeDocument/2006/relationships" r:embed="rId1"/>
        <a:srcRect l="7792" t="6154" r="5195" b="7679"/>
        <a:stretch/>
      </xdr:blipFill>
      <xdr:spPr>
        <a:xfrm>
          <a:off x="2057400" y="161925"/>
          <a:ext cx="1800823" cy="811814"/>
        </a:xfrm>
        <a:prstGeom prst="rect">
          <a:avLst/>
        </a:prstGeom>
      </xdr:spPr>
    </xdr:pic>
    <xdr:clientData/>
  </xdr:twoCellAnchor>
  <xdr:twoCellAnchor>
    <xdr:from>
      <xdr:col>3</xdr:col>
      <xdr:colOff>0</xdr:colOff>
      <xdr:row>68</xdr:row>
      <xdr:rowOff>0</xdr:rowOff>
    </xdr:from>
    <xdr:to>
      <xdr:col>3</xdr:col>
      <xdr:colOff>1800000</xdr:colOff>
      <xdr:row>70</xdr:row>
      <xdr:rowOff>144150</xdr:rowOff>
    </xdr:to>
    <xdr:sp macro="" textlink="">
      <xdr:nvSpPr>
        <xdr:cNvPr id="2" name="Rettangolo con angoli arrotondati 1">
          <a:hlinkClick xmlns:r="http://schemas.openxmlformats.org/officeDocument/2006/relationships" r:id="rId2"/>
          <a:extLst>
            <a:ext uri="{FF2B5EF4-FFF2-40B4-BE49-F238E27FC236}">
              <a16:creationId xmlns:a16="http://schemas.microsoft.com/office/drawing/2014/main" id="{DEED87DB-5700-41A3-8FE4-D76D41D4AF24}"/>
            </a:ext>
          </a:extLst>
        </xdr:cNvPr>
        <xdr:cNvSpPr/>
      </xdr:nvSpPr>
      <xdr:spPr>
        <a:xfrm>
          <a:off x="20574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3</xdr:col>
      <xdr:colOff>2057400</xdr:colOff>
      <xdr:row>68</xdr:row>
      <xdr:rowOff>0</xdr:rowOff>
    </xdr:from>
    <xdr:to>
      <xdr:col>6</xdr:col>
      <xdr:colOff>304575</xdr:colOff>
      <xdr:row>70</xdr:row>
      <xdr:rowOff>144150</xdr:rowOff>
    </xdr:to>
    <xdr:sp macro="" textlink="">
      <xdr:nvSpPr>
        <xdr:cNvPr id="3" name="Rettangolo con angoli arrotondati 2">
          <a:hlinkClick xmlns:r="http://schemas.openxmlformats.org/officeDocument/2006/relationships" r:id="rId3"/>
          <a:extLst>
            <a:ext uri="{FF2B5EF4-FFF2-40B4-BE49-F238E27FC236}">
              <a16:creationId xmlns:a16="http://schemas.microsoft.com/office/drawing/2014/main" id="{104BE864-9911-44C4-96DB-780128DCC215}"/>
            </a:ext>
          </a:extLst>
        </xdr:cNvPr>
        <xdr:cNvSpPr/>
      </xdr:nvSpPr>
      <xdr:spPr>
        <a:xfrm>
          <a:off x="41148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latin typeface="+mn-lt"/>
              <a:ea typeface="+mn-ea"/>
              <a:cs typeface="+mn-cs"/>
            </a:rPr>
            <a:t>SCREWS</a:t>
          </a:r>
          <a:r>
            <a:rPr lang="it-IT" sz="1000" b="1" baseline="0">
              <a:solidFill>
                <a:sysClr val="windowText" lastClr="000000"/>
              </a:solidFill>
              <a:effectLst/>
              <a:latin typeface="+mn-lt"/>
              <a:ea typeface="+mn-ea"/>
              <a:cs typeface="+mn-cs"/>
            </a:rPr>
            <a: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571500</xdr:colOff>
      <xdr:row>68</xdr:row>
      <xdr:rowOff>0</xdr:rowOff>
    </xdr:from>
    <xdr:to>
      <xdr:col>6</xdr:col>
      <xdr:colOff>2371500</xdr:colOff>
      <xdr:row>70</xdr:row>
      <xdr:rowOff>144150</xdr:rowOff>
    </xdr:to>
    <xdr:sp macro="" textlink="">
      <xdr:nvSpPr>
        <xdr:cNvPr id="4" name="Rettangolo con angoli arrotondati 3">
          <a:hlinkClick xmlns:r="http://schemas.openxmlformats.org/officeDocument/2006/relationships" r:id="rId4"/>
          <a:extLst>
            <a:ext uri="{FF2B5EF4-FFF2-40B4-BE49-F238E27FC236}">
              <a16:creationId xmlns:a16="http://schemas.microsoft.com/office/drawing/2014/main" id="{A89DEC2F-AD0C-42E5-A701-BF3CB9D55AF2}"/>
            </a:ext>
          </a:extLst>
        </xdr:cNvPr>
        <xdr:cNvSpPr/>
      </xdr:nvSpPr>
      <xdr:spPr>
        <a:xfrm>
          <a:off x="6181725"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CONCRETE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2638425</xdr:colOff>
      <xdr:row>68</xdr:row>
      <xdr:rowOff>0</xdr:rowOff>
    </xdr:from>
    <xdr:to>
      <xdr:col>7</xdr:col>
      <xdr:colOff>733200</xdr:colOff>
      <xdr:row>70</xdr:row>
      <xdr:rowOff>144150</xdr:rowOff>
    </xdr:to>
    <xdr:sp macro="" textlink="">
      <xdr:nvSpPr>
        <xdr:cNvPr id="8" name="Rettangolo con angoli arrotondati 7">
          <a:hlinkClick xmlns:r="http://schemas.openxmlformats.org/officeDocument/2006/relationships" r:id="rId5"/>
          <a:extLst>
            <a:ext uri="{FF2B5EF4-FFF2-40B4-BE49-F238E27FC236}">
              <a16:creationId xmlns:a16="http://schemas.microsoft.com/office/drawing/2014/main" id="{322F34D1-6B66-4310-AFCE-C2FD0C03AA50}"/>
            </a:ext>
          </a:extLst>
        </xdr:cNvPr>
        <xdr:cNvSpPr/>
      </xdr:nvSpPr>
      <xdr:spPr>
        <a:xfrm>
          <a:off x="687705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EDGE DISTANCE</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3</xdr:col>
      <xdr:colOff>1109382</xdr:colOff>
      <xdr:row>76</xdr:row>
      <xdr:rowOff>145677</xdr:rowOff>
    </xdr:from>
    <xdr:to>
      <xdr:col>3</xdr:col>
      <xdr:colOff>1317045</xdr:colOff>
      <xdr:row>77</xdr:row>
      <xdr:rowOff>186845</xdr:rowOff>
    </xdr:to>
    <xdr:pic macro="[0]!asseneutro">
      <xdr:nvPicPr>
        <xdr:cNvPr id="5" name="Immagine 4">
          <a:extLst>
            <a:ext uri="{FF2B5EF4-FFF2-40B4-BE49-F238E27FC236}">
              <a16:creationId xmlns:a16="http://schemas.microsoft.com/office/drawing/2014/main" id="{124F3850-7B48-4FD9-9BB1-31A4DC9F9ED6}"/>
            </a:ext>
          </a:extLst>
        </xdr:cNvPr>
        <xdr:cNvPicPr>
          <a:picLocks noChangeAspect="1"/>
        </xdr:cNvPicPr>
      </xdr:nvPicPr>
      <xdr:blipFill>
        <a:blip xmlns:r="http://schemas.openxmlformats.org/officeDocument/2006/relationships" r:embed="rId6"/>
        <a:stretch>
          <a:fillRect/>
        </a:stretch>
      </xdr:blipFill>
      <xdr:spPr>
        <a:xfrm>
          <a:off x="3160058" y="14253883"/>
          <a:ext cx="213378" cy="231668"/>
        </a:xfrm>
        <a:prstGeom prst="rect">
          <a:avLst/>
        </a:prstGeom>
      </xdr:spPr>
    </xdr:pic>
    <xdr:clientData/>
  </xdr:twoCellAnchor>
  <xdr:twoCellAnchor editAs="oneCell">
    <xdr:from>
      <xdr:col>3</xdr:col>
      <xdr:colOff>0</xdr:colOff>
      <xdr:row>133</xdr:row>
      <xdr:rowOff>0</xdr:rowOff>
    </xdr:from>
    <xdr:to>
      <xdr:col>9</xdr:col>
      <xdr:colOff>472669</xdr:colOff>
      <xdr:row>138</xdr:row>
      <xdr:rowOff>60109</xdr:rowOff>
    </xdr:to>
    <xdr:pic>
      <xdr:nvPicPr>
        <xdr:cNvPr id="7" name="Immagine 6">
          <a:extLst>
            <a:ext uri="{FF2B5EF4-FFF2-40B4-BE49-F238E27FC236}">
              <a16:creationId xmlns:a16="http://schemas.microsoft.com/office/drawing/2014/main" id="{9C890DD4-E570-45E3-B451-79E1FD3C6195}"/>
            </a:ext>
          </a:extLst>
        </xdr:cNvPr>
        <xdr:cNvPicPr>
          <a:picLocks noChangeAspect="1"/>
        </xdr:cNvPicPr>
      </xdr:nvPicPr>
      <xdr:blipFill>
        <a:blip xmlns:r="http://schemas.openxmlformats.org/officeDocument/2006/relationships" r:embed="rId7"/>
        <a:stretch>
          <a:fillRect/>
        </a:stretch>
      </xdr:blipFill>
      <xdr:spPr>
        <a:xfrm>
          <a:off x="683559" y="24966706"/>
          <a:ext cx="10104013" cy="1012609"/>
        </a:xfrm>
        <a:prstGeom prst="rect">
          <a:avLst/>
        </a:prstGeom>
      </xdr:spPr>
    </xdr:pic>
    <xdr:clientData/>
  </xdr:twoCellAnchor>
  <xdr:twoCellAnchor>
    <xdr:from>
      <xdr:col>7</xdr:col>
      <xdr:colOff>1009650</xdr:colOff>
      <xdr:row>68</xdr:row>
      <xdr:rowOff>0</xdr:rowOff>
    </xdr:from>
    <xdr:to>
      <xdr:col>9</xdr:col>
      <xdr:colOff>428400</xdr:colOff>
      <xdr:row>70</xdr:row>
      <xdr:rowOff>144150</xdr:rowOff>
    </xdr:to>
    <xdr:sp macro="" textlink="">
      <xdr:nvSpPr>
        <xdr:cNvPr id="13" name="Rettangolo con angoli arrotondati 12">
          <a:hlinkClick xmlns:r="http://schemas.openxmlformats.org/officeDocument/2006/relationships" r:id="rId8"/>
          <a:extLst>
            <a:ext uri="{FF2B5EF4-FFF2-40B4-BE49-F238E27FC236}">
              <a16:creationId xmlns:a16="http://schemas.microsoft.com/office/drawing/2014/main" id="{CE12FF6E-B07E-41A2-8EE0-8B544EA95ED4}"/>
            </a:ext>
          </a:extLst>
        </xdr:cNvPr>
        <xdr:cNvSpPr/>
      </xdr:nvSpPr>
      <xdr:spPr>
        <a:xfrm>
          <a:off x="895350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6</xdr:col>
      <xdr:colOff>2423195</xdr:colOff>
      <xdr:row>80</xdr:row>
      <xdr:rowOff>129271</xdr:rowOff>
    </xdr:from>
    <xdr:to>
      <xdr:col>10</xdr:col>
      <xdr:colOff>2253839</xdr:colOff>
      <xdr:row>106</xdr:row>
      <xdr:rowOff>86576</xdr:rowOff>
    </xdr:to>
    <xdr:pic>
      <xdr:nvPicPr>
        <xdr:cNvPr id="11" name="leverarm" hidden="1">
          <a:extLst>
            <a:ext uri="{FF2B5EF4-FFF2-40B4-BE49-F238E27FC236}">
              <a16:creationId xmlns:a16="http://schemas.microsoft.com/office/drawing/2014/main" id="{2A540654-0B43-2E1F-BC33-DF68BF14191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033420" y="15054946"/>
          <a:ext cx="7193469" cy="4910305"/>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1114425</xdr:colOff>
      <xdr:row>119</xdr:row>
      <xdr:rowOff>142875</xdr:rowOff>
    </xdr:from>
    <xdr:to>
      <xdr:col>3</xdr:col>
      <xdr:colOff>1312563</xdr:colOff>
      <xdr:row>120</xdr:row>
      <xdr:rowOff>174518</xdr:rowOff>
    </xdr:to>
    <xdr:pic macro="[0]!rigidezza">
      <xdr:nvPicPr>
        <xdr:cNvPr id="14" name="Immagine 13">
          <a:extLst>
            <a:ext uri="{FF2B5EF4-FFF2-40B4-BE49-F238E27FC236}">
              <a16:creationId xmlns:a16="http://schemas.microsoft.com/office/drawing/2014/main" id="{118B0532-99F8-411C-B1C2-BBA3E7D31363}"/>
            </a:ext>
          </a:extLst>
        </xdr:cNvPr>
        <xdr:cNvPicPr>
          <a:picLocks noChangeAspect="1"/>
        </xdr:cNvPicPr>
      </xdr:nvPicPr>
      <xdr:blipFill>
        <a:blip xmlns:r="http://schemas.openxmlformats.org/officeDocument/2006/relationships" r:embed="rId6"/>
        <a:stretch>
          <a:fillRect/>
        </a:stretch>
      </xdr:blipFill>
      <xdr:spPr>
        <a:xfrm>
          <a:off x="1800225" y="10877550"/>
          <a:ext cx="213378" cy="231668"/>
        </a:xfrm>
        <a:prstGeom prst="rect">
          <a:avLst/>
        </a:prstGeom>
      </xdr:spPr>
    </xdr:pic>
    <xdr:clientData/>
  </xdr:twoCellAnchor>
  <xdr:twoCellAnchor editAs="oneCell">
    <xdr:from>
      <xdr:col>6</xdr:col>
      <xdr:colOff>2409825</xdr:colOff>
      <xdr:row>96</xdr:row>
      <xdr:rowOff>19050</xdr:rowOff>
    </xdr:from>
    <xdr:to>
      <xdr:col>10</xdr:col>
      <xdr:colOff>2258430</xdr:colOff>
      <xdr:row>108</xdr:row>
      <xdr:rowOff>85437</xdr:rowOff>
    </xdr:to>
    <xdr:pic>
      <xdr:nvPicPr>
        <xdr:cNvPr id="15" name="rigidity" hidden="1">
          <a:extLst>
            <a:ext uri="{FF2B5EF4-FFF2-40B4-BE49-F238E27FC236}">
              <a16:creationId xmlns:a16="http://schemas.microsoft.com/office/drawing/2014/main" id="{4384D924-92EA-A5CE-03A0-8CA0EED47CB8}"/>
            </a:ext>
          </a:extLst>
        </xdr:cNvPr>
        <xdr:cNvPicPr>
          <a:picLocks noChangeAspect="1"/>
        </xdr:cNvPicPr>
      </xdr:nvPicPr>
      <xdr:blipFill>
        <a:blip xmlns:r="http://schemas.openxmlformats.org/officeDocument/2006/relationships" r:embed="rId10"/>
        <a:stretch>
          <a:fillRect/>
        </a:stretch>
      </xdr:blipFill>
      <xdr:spPr>
        <a:xfrm>
          <a:off x="8020050" y="17992725"/>
          <a:ext cx="7211430" cy="2352387"/>
        </a:xfrm>
        <a:prstGeom prst="rect">
          <a:avLst/>
        </a:prstGeom>
        <a:ln w="28575">
          <a:solidFill>
            <a:sysClr val="windowText" lastClr="000000"/>
          </a:solidFill>
        </a:ln>
      </xdr:spPr>
    </xdr:pic>
    <xdr:clientData/>
  </xdr:twoCellAnchor>
  <xdr:twoCellAnchor editAs="oneCell">
    <xdr:from>
      <xdr:col>9</xdr:col>
      <xdr:colOff>647700</xdr:colOff>
      <xdr:row>63</xdr:row>
      <xdr:rowOff>144074</xdr:rowOff>
    </xdr:from>
    <xdr:to>
      <xdr:col>10</xdr:col>
      <xdr:colOff>2264952</xdr:colOff>
      <xdr:row>64</xdr:row>
      <xdr:rowOff>134675</xdr:rowOff>
    </xdr:to>
    <xdr:pic>
      <xdr:nvPicPr>
        <xdr:cNvPr id="16" name="Immagine 15">
          <a:extLst>
            <a:ext uri="{FF2B5EF4-FFF2-40B4-BE49-F238E27FC236}">
              <a16:creationId xmlns:a16="http://schemas.microsoft.com/office/drawing/2014/main" id="{27D4FA20-0D99-491A-A7AC-6B057C9B9631}"/>
            </a:ext>
          </a:extLst>
        </xdr:cNvPr>
        <xdr:cNvPicPr>
          <a:picLocks noChangeAspect="1"/>
        </xdr:cNvPicPr>
      </xdr:nvPicPr>
      <xdr:blipFill>
        <a:blip xmlns:r="http://schemas.openxmlformats.org/officeDocument/2006/relationships" r:embed="rId11"/>
        <a:stretch>
          <a:fillRect/>
        </a:stretch>
      </xdr:blipFill>
      <xdr:spPr>
        <a:xfrm>
          <a:off x="10972800" y="467924"/>
          <a:ext cx="2884077" cy="152526"/>
        </a:xfrm>
        <a:prstGeom prst="rect">
          <a:avLst/>
        </a:prstGeom>
      </xdr:spPr>
    </xdr:pic>
    <xdr:clientData/>
  </xdr:twoCellAnchor>
  <xdr:twoCellAnchor editAs="oneCell">
    <xdr:from>
      <xdr:col>10</xdr:col>
      <xdr:colOff>636586</xdr:colOff>
      <xdr:row>62</xdr:row>
      <xdr:rowOff>28575</xdr:rowOff>
    </xdr:from>
    <xdr:to>
      <xdr:col>10</xdr:col>
      <xdr:colOff>1006111</xdr:colOff>
      <xdr:row>63</xdr:row>
      <xdr:rowOff>131200</xdr:rowOff>
    </xdr:to>
    <xdr:pic>
      <xdr:nvPicPr>
        <xdr:cNvPr id="17" name="Immagine 16">
          <a:extLst>
            <a:ext uri="{FF2B5EF4-FFF2-40B4-BE49-F238E27FC236}">
              <a16:creationId xmlns:a16="http://schemas.microsoft.com/office/drawing/2014/main" id="{555AA503-8BA0-4665-BFA5-2A06C2442A3B}"/>
            </a:ext>
          </a:extLst>
        </xdr:cNvPr>
        <xdr:cNvPicPr>
          <a:picLocks noChangeAspect="1"/>
        </xdr:cNvPicPr>
      </xdr:nvPicPr>
      <xdr:blipFill rotWithShape="1">
        <a:blip xmlns:r="http://schemas.openxmlformats.org/officeDocument/2006/relationships" r:embed="rId12"/>
        <a:srcRect l="22007" r="16090"/>
        <a:stretch/>
      </xdr:blipFill>
      <xdr:spPr>
        <a:xfrm>
          <a:off x="12238036" y="190500"/>
          <a:ext cx="360000" cy="264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3</xdr:row>
      <xdr:rowOff>0</xdr:rowOff>
    </xdr:from>
    <xdr:to>
      <xdr:col>5</xdr:col>
      <xdr:colOff>428400</xdr:colOff>
      <xdr:row>5</xdr:row>
      <xdr:rowOff>87000</xdr:rowOff>
    </xdr:to>
    <xdr:sp macro="" textlink="">
      <xdr:nvSpPr>
        <xdr:cNvPr id="5" name="Rettangolo con angoli arrotondati 4">
          <a:hlinkClick xmlns:r="http://schemas.openxmlformats.org/officeDocument/2006/relationships" r:id="rId1"/>
          <a:extLst>
            <a:ext uri="{FF2B5EF4-FFF2-40B4-BE49-F238E27FC236}">
              <a16:creationId xmlns:a16="http://schemas.microsoft.com/office/drawing/2014/main" id="{173FDEE4-8622-464E-A376-F1B3696617D0}"/>
            </a:ext>
          </a:extLst>
        </xdr:cNvPr>
        <xdr:cNvSpPr/>
      </xdr:nvSpPr>
      <xdr:spPr>
        <a:xfrm>
          <a:off x="3781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0</xdr:colOff>
      <xdr:row>3</xdr:row>
      <xdr:rowOff>0</xdr:rowOff>
    </xdr:from>
    <xdr:to>
      <xdr:col>8</xdr:col>
      <xdr:colOff>428400</xdr:colOff>
      <xdr:row>5</xdr:row>
      <xdr:rowOff>87000</xdr:rowOff>
    </xdr:to>
    <xdr:sp macro="" textlink="">
      <xdr:nvSpPr>
        <xdr:cNvPr id="6" name="Rettangolo con angoli arrotondati 5">
          <a:hlinkClick xmlns:r="http://schemas.openxmlformats.org/officeDocument/2006/relationships" r:id="rId2"/>
          <a:extLst>
            <a:ext uri="{FF2B5EF4-FFF2-40B4-BE49-F238E27FC236}">
              <a16:creationId xmlns:a16="http://schemas.microsoft.com/office/drawing/2014/main" id="{14CB5815-34EB-40BF-91BC-3EBFEDCD259A}"/>
            </a:ext>
          </a:extLst>
        </xdr:cNvPr>
        <xdr:cNvSpPr/>
      </xdr:nvSpPr>
      <xdr:spPr>
        <a:xfrm>
          <a:off x="5838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10</xdr:col>
      <xdr:colOff>0</xdr:colOff>
      <xdr:row>2</xdr:row>
      <xdr:rowOff>0</xdr:rowOff>
    </xdr:from>
    <xdr:to>
      <xdr:col>12</xdr:col>
      <xdr:colOff>429223</xdr:colOff>
      <xdr:row>6</xdr:row>
      <xdr:rowOff>49814</xdr:rowOff>
    </xdr:to>
    <xdr:pic>
      <xdr:nvPicPr>
        <xdr:cNvPr id="7" name="Immagine 6">
          <a:extLst>
            <a:ext uri="{FF2B5EF4-FFF2-40B4-BE49-F238E27FC236}">
              <a16:creationId xmlns:a16="http://schemas.microsoft.com/office/drawing/2014/main" id="{0D45E5DD-12AD-45ED-AE13-6258C1042521}"/>
            </a:ext>
          </a:extLst>
        </xdr:cNvPr>
        <xdr:cNvPicPr>
          <a:picLocks noChangeAspect="1"/>
        </xdr:cNvPicPr>
      </xdr:nvPicPr>
      <xdr:blipFill rotWithShape="1">
        <a:blip xmlns:r="http://schemas.openxmlformats.org/officeDocument/2006/relationships" r:embed="rId3"/>
        <a:srcRect l="7792" t="6154" r="5195" b="7679"/>
        <a:stretch/>
      </xdr:blipFill>
      <xdr:spPr>
        <a:xfrm>
          <a:off x="8582025" y="381000"/>
          <a:ext cx="1800823" cy="811814"/>
        </a:xfrm>
        <a:prstGeom prst="rect">
          <a:avLst/>
        </a:prstGeom>
      </xdr:spPr>
    </xdr:pic>
    <xdr:clientData/>
  </xdr:twoCellAnchor>
  <xdr:twoCellAnchor editAs="oneCell">
    <xdr:from>
      <xdr:col>1</xdr:col>
      <xdr:colOff>0</xdr:colOff>
      <xdr:row>28</xdr:row>
      <xdr:rowOff>0</xdr:rowOff>
    </xdr:from>
    <xdr:to>
      <xdr:col>13</xdr:col>
      <xdr:colOff>128616</xdr:colOff>
      <xdr:row>33</xdr:row>
      <xdr:rowOff>51945</xdr:rowOff>
    </xdr:to>
    <xdr:pic>
      <xdr:nvPicPr>
        <xdr:cNvPr id="8" name="Immagine 7">
          <a:extLst>
            <a:ext uri="{FF2B5EF4-FFF2-40B4-BE49-F238E27FC236}">
              <a16:creationId xmlns:a16="http://schemas.microsoft.com/office/drawing/2014/main" id="{E7BCE0B0-C084-4227-ACDF-BA771F7BE99F}"/>
            </a:ext>
          </a:extLst>
        </xdr:cNvPr>
        <xdr:cNvPicPr>
          <a:picLocks noChangeAspect="1"/>
        </xdr:cNvPicPr>
      </xdr:nvPicPr>
      <xdr:blipFill>
        <a:blip xmlns:r="http://schemas.openxmlformats.org/officeDocument/2006/relationships" r:embed="rId4"/>
        <a:stretch>
          <a:fillRect/>
        </a:stretch>
      </xdr:blipFill>
      <xdr:spPr>
        <a:xfrm>
          <a:off x="685800" y="5334000"/>
          <a:ext cx="10082241" cy="1004445"/>
        </a:xfrm>
        <a:prstGeom prst="rect">
          <a:avLst/>
        </a:prstGeom>
      </xdr:spPr>
    </xdr:pic>
    <xdr:clientData/>
  </xdr:twoCellAnchor>
  <xdr:twoCellAnchor editAs="oneCell">
    <xdr:from>
      <xdr:col>6</xdr:col>
      <xdr:colOff>104775</xdr:colOff>
      <xdr:row>7</xdr:row>
      <xdr:rowOff>0</xdr:rowOff>
    </xdr:from>
    <xdr:to>
      <xdr:col>15</xdr:col>
      <xdr:colOff>1171575</xdr:colOff>
      <xdr:row>26</xdr:row>
      <xdr:rowOff>9525</xdr:rowOff>
    </xdr:to>
    <xdr:pic>
      <xdr:nvPicPr>
        <xdr:cNvPr id="4" name="Immagine 3">
          <a:extLst>
            <a:ext uri="{FF2B5EF4-FFF2-40B4-BE49-F238E27FC236}">
              <a16:creationId xmlns:a16="http://schemas.microsoft.com/office/drawing/2014/main" id="{83E30387-DA1B-4274-B11B-66C1E746D95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43600" y="1333500"/>
          <a:ext cx="7239000"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428400</xdr:colOff>
      <xdr:row>5</xdr:row>
      <xdr:rowOff>87000</xdr:rowOff>
    </xdr:to>
    <xdr:sp macro="" textlink="">
      <xdr:nvSpPr>
        <xdr:cNvPr id="2" name="Rettangolo con angoli arrotondati 1">
          <a:hlinkClick xmlns:r="http://schemas.openxmlformats.org/officeDocument/2006/relationships" r:id="rId1"/>
          <a:extLst>
            <a:ext uri="{FF2B5EF4-FFF2-40B4-BE49-F238E27FC236}">
              <a16:creationId xmlns:a16="http://schemas.microsoft.com/office/drawing/2014/main" id="{2D6875A3-BE1E-43D6-BAAE-85813B203EAC}"/>
            </a:ext>
          </a:extLst>
        </xdr:cNvPr>
        <xdr:cNvSpPr/>
      </xdr:nvSpPr>
      <xdr:spPr>
        <a:xfrm>
          <a:off x="3019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7</xdr:col>
      <xdr:colOff>0</xdr:colOff>
      <xdr:row>3</xdr:row>
      <xdr:rowOff>0</xdr:rowOff>
    </xdr:from>
    <xdr:to>
      <xdr:col>9</xdr:col>
      <xdr:colOff>428400</xdr:colOff>
      <xdr:row>5</xdr:row>
      <xdr:rowOff>87000</xdr:rowOff>
    </xdr:to>
    <xdr:sp macro="" textlink="">
      <xdr:nvSpPr>
        <xdr:cNvPr id="4" name="Rettangolo con angoli arrotondati 3">
          <a:hlinkClick xmlns:r="http://schemas.openxmlformats.org/officeDocument/2006/relationships" r:id="rId2"/>
          <a:extLst>
            <a:ext uri="{FF2B5EF4-FFF2-40B4-BE49-F238E27FC236}">
              <a16:creationId xmlns:a16="http://schemas.microsoft.com/office/drawing/2014/main" id="{3EE419AC-E097-4843-B565-CD8CF1FF40B2}"/>
            </a:ext>
          </a:extLst>
        </xdr:cNvPr>
        <xdr:cNvSpPr/>
      </xdr:nvSpPr>
      <xdr:spPr>
        <a:xfrm>
          <a:off x="5076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38</xdr:row>
      <xdr:rowOff>0</xdr:rowOff>
    </xdr:from>
    <xdr:to>
      <xdr:col>15</xdr:col>
      <xdr:colOff>204816</xdr:colOff>
      <xdr:row>43</xdr:row>
      <xdr:rowOff>51945</xdr:rowOff>
    </xdr:to>
    <xdr:pic>
      <xdr:nvPicPr>
        <xdr:cNvPr id="6" name="Immagine 5">
          <a:extLst>
            <a:ext uri="{FF2B5EF4-FFF2-40B4-BE49-F238E27FC236}">
              <a16:creationId xmlns:a16="http://schemas.microsoft.com/office/drawing/2014/main" id="{3466865E-3FCC-40D8-924D-D160A0C551F3}"/>
            </a:ext>
          </a:extLst>
        </xdr:cNvPr>
        <xdr:cNvPicPr>
          <a:picLocks noChangeAspect="1"/>
        </xdr:cNvPicPr>
      </xdr:nvPicPr>
      <xdr:blipFill>
        <a:blip xmlns:r="http://schemas.openxmlformats.org/officeDocument/2006/relationships" r:embed="rId3"/>
        <a:stretch>
          <a:fillRect/>
        </a:stretch>
      </xdr:blipFill>
      <xdr:spPr>
        <a:xfrm>
          <a:off x="685800" y="7239000"/>
          <a:ext cx="10082241" cy="1004445"/>
        </a:xfrm>
        <a:prstGeom prst="rect">
          <a:avLst/>
        </a:prstGeom>
      </xdr:spPr>
    </xdr:pic>
    <xdr:clientData/>
  </xdr:twoCellAnchor>
  <xdr:twoCellAnchor editAs="oneCell">
    <xdr:from>
      <xdr:col>11</xdr:col>
      <xdr:colOff>0</xdr:colOff>
      <xdr:row>2</xdr:row>
      <xdr:rowOff>0</xdr:rowOff>
    </xdr:from>
    <xdr:to>
      <xdr:col>13</xdr:col>
      <xdr:colOff>429223</xdr:colOff>
      <xdr:row>6</xdr:row>
      <xdr:rowOff>49814</xdr:rowOff>
    </xdr:to>
    <xdr:pic>
      <xdr:nvPicPr>
        <xdr:cNvPr id="8" name="Immagine 7">
          <a:extLst>
            <a:ext uri="{FF2B5EF4-FFF2-40B4-BE49-F238E27FC236}">
              <a16:creationId xmlns:a16="http://schemas.microsoft.com/office/drawing/2014/main" id="{A5CF6FA0-7C5D-48B6-83C9-B9AE1325F71E}"/>
            </a:ext>
          </a:extLst>
        </xdr:cNvPr>
        <xdr:cNvPicPr>
          <a:picLocks noChangeAspect="1"/>
        </xdr:cNvPicPr>
      </xdr:nvPicPr>
      <xdr:blipFill rotWithShape="1">
        <a:blip xmlns:r="http://schemas.openxmlformats.org/officeDocument/2006/relationships" r:embed="rId4"/>
        <a:srcRect l="7792" t="6154" r="5195" b="7679"/>
        <a:stretch/>
      </xdr:blipFill>
      <xdr:spPr>
        <a:xfrm>
          <a:off x="7820025" y="381000"/>
          <a:ext cx="1800823" cy="811814"/>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othoblaas.com/privacy-polic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A5DB0-F6AF-494E-BDA5-028707D3A3B8}">
  <sheetPr codeName="Foglio10">
    <pageSetUpPr fitToPage="1"/>
  </sheetPr>
  <dimension ref="A128:T133"/>
  <sheetViews>
    <sheetView showGridLines="0" showRowColHeaders="0" zoomScaleNormal="100" workbookViewId="0">
      <selection activeCell="K8" sqref="K8"/>
    </sheetView>
  </sheetViews>
  <sheetFormatPr baseColWidth="10" defaultColWidth="9" defaultRowHeight="12.75"/>
  <cols>
    <col min="20" max="20" width="2.25" customWidth="1"/>
  </cols>
  <sheetData>
    <row r="128" spans="1:1" ht="15">
      <c r="A128" s="185" t="str">
        <f>traduzioni!A180</f>
        <v>NOTES</v>
      </c>
    </row>
    <row r="129" spans="1:20" ht="20.100000000000001" customHeight="1">
      <c r="A129" t="str">
        <f>traduzioni!A181</f>
        <v>Avant la construction, tous les calculs doivent être vérifiés et approuvés par le concepteur responsable.</v>
      </c>
    </row>
    <row r="130" spans="1:20" ht="15" customHeight="1">
      <c r="A130" t="str">
        <f>traduzioni!A182</f>
        <v>Les valeurs de résistance mécanique et la géométrie se réfèrent à la certification du produit.</v>
      </c>
    </row>
    <row r="131" spans="1:20" ht="15" customHeight="1">
      <c r="A131" t="str">
        <f>traduzioni!A183</f>
        <v>La vérification de la résistance du système côté ancrage au béton doit être effectuée séparément conformément à l’ETA-22/0806 - Annexe E1.</v>
      </c>
    </row>
    <row r="132" spans="1:20" ht="30" customHeight="1">
      <c r="A132" s="238" t="str">
        <f>traduzioni!A184</f>
        <v>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v>
      </c>
      <c r="B132" s="238"/>
      <c r="C132" s="238"/>
      <c r="D132" s="238"/>
      <c r="E132" s="238"/>
      <c r="F132" s="238"/>
      <c r="G132" s="238"/>
      <c r="H132" s="238"/>
      <c r="I132" s="238"/>
      <c r="J132" s="238"/>
      <c r="K132" s="238"/>
      <c r="L132" s="238"/>
      <c r="M132" s="238"/>
      <c r="N132" s="238"/>
      <c r="O132" s="238"/>
      <c r="P132" s="238"/>
      <c r="Q132" s="238"/>
      <c r="R132" s="238"/>
      <c r="S132" s="238"/>
      <c r="T132" s="238"/>
    </row>
    <row r="133" spans="1:20" ht="80.099999999999994" customHeight="1">
      <c r="A133" s="238" t="str">
        <f>traduzioni!A185</f>
        <v>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v>
      </c>
      <c r="B133" s="238"/>
      <c r="C133" s="238"/>
      <c r="D133" s="238"/>
      <c r="E133" s="238"/>
      <c r="F133" s="238"/>
      <c r="G133" s="238"/>
      <c r="H133" s="238"/>
      <c r="I133" s="238"/>
      <c r="J133" s="238"/>
      <c r="K133" s="238"/>
      <c r="L133" s="238"/>
      <c r="M133" s="238"/>
      <c r="N133" s="238"/>
      <c r="O133" s="238"/>
      <c r="P133" s="238"/>
      <c r="Q133" s="238"/>
      <c r="R133" s="238"/>
      <c r="S133" s="238"/>
      <c r="T133" s="238"/>
    </row>
  </sheetData>
  <sheetProtection algorithmName="SHA-512" hashValue="oCuedR+1IPjl86jbPKoKnni3sAloPuihiod4jOZliJiVfXj1BzCWGcPKqJO0BH/4F47CtPYOMSO97jmvB6OT+A==" saltValue="lRZrpg+8CRGZHCcjSwoTyQ==" spinCount="100000" sheet="1" objects="1" scenarios="1"/>
  <mergeCells count="2">
    <mergeCell ref="A132:T132"/>
    <mergeCell ref="A133:T133"/>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3809-BB6A-4AD4-A09B-5EE0012D2854}">
  <sheetPr codeName="Foglio7"/>
  <dimension ref="A1:I226"/>
  <sheetViews>
    <sheetView zoomScaleNormal="100" workbookViewId="0"/>
  </sheetViews>
  <sheetFormatPr baseColWidth="10" defaultColWidth="9" defaultRowHeight="12.75"/>
  <cols>
    <col min="1" max="1" width="15.625" bestFit="1" customWidth="1"/>
    <col min="6" max="9" width="22" style="156" customWidth="1"/>
  </cols>
  <sheetData>
    <row r="1" spans="1:9">
      <c r="A1" t="s">
        <v>389</v>
      </c>
      <c r="B1" s="168" t="str">
        <f>GEOMETRY!K8</f>
        <v>FR</v>
      </c>
      <c r="D1" s="167" t="s">
        <v>358</v>
      </c>
      <c r="E1" s="167" t="s">
        <v>388</v>
      </c>
      <c r="F1" s="194" t="s">
        <v>671</v>
      </c>
      <c r="G1" s="194" t="s">
        <v>672</v>
      </c>
      <c r="H1" s="194" t="s">
        <v>673</v>
      </c>
      <c r="I1" s="194" t="s">
        <v>674</v>
      </c>
    </row>
    <row r="3" spans="1:9">
      <c r="A3" t="str">
        <f>IF($B$1=$D$1,D3,IF($B$1=$E$1,E3,IF($B$1=$F$1,F3,IF($B$1=$G$1,G3,IF($B$1=$H$1,H3,IF($B$1=$I$1,I3,"ERROR"))))))</f>
        <v>Langue</v>
      </c>
      <c r="D3" t="s">
        <v>363</v>
      </c>
      <c r="E3" t="s">
        <v>484</v>
      </c>
      <c r="F3" s="156" t="s">
        <v>688</v>
      </c>
      <c r="G3" s="156" t="s">
        <v>689</v>
      </c>
      <c r="H3" s="156" t="s">
        <v>690</v>
      </c>
      <c r="I3" s="156" t="s">
        <v>689</v>
      </c>
    </row>
    <row r="4" spans="1:9">
      <c r="A4" t="str">
        <f t="shared" ref="A4:A67" si="0">IF($B$1=$D$1,D4,IF($B$1=$E$1,E4,IF($B$1=$F$1,F4,IF($B$1=$G$1,G4,IF($B$1=$H$1,H4,IF($B$1=$I$1,I4,"ERROR"))))))</f>
        <v>CALCUL TC-FUSION</v>
      </c>
      <c r="D4" t="s">
        <v>431</v>
      </c>
      <c r="E4" t="s">
        <v>485</v>
      </c>
      <c r="F4" s="156" t="s">
        <v>691</v>
      </c>
      <c r="G4" s="156" t="s">
        <v>692</v>
      </c>
      <c r="H4" s="156" t="s">
        <v>693</v>
      </c>
      <c r="I4" s="156" t="s">
        <v>694</v>
      </c>
    </row>
    <row r="5" spans="1:9">
      <c r="A5" t="str">
        <f t="shared" si="0"/>
        <v xml:space="preserve">Informations générales </v>
      </c>
      <c r="D5" s="6" t="s">
        <v>362</v>
      </c>
      <c r="E5" s="6" t="s">
        <v>486</v>
      </c>
      <c r="F5" s="195" t="s">
        <v>695</v>
      </c>
      <c r="G5" s="195" t="s">
        <v>696</v>
      </c>
      <c r="H5" s="195" t="s">
        <v>697</v>
      </c>
      <c r="I5" s="195" t="s">
        <v>698</v>
      </c>
    </row>
    <row r="6" spans="1:9">
      <c r="A6" t="str">
        <f t="shared" si="0"/>
        <v>Date</v>
      </c>
      <c r="D6" t="s">
        <v>359</v>
      </c>
      <c r="E6" t="s">
        <v>487</v>
      </c>
      <c r="F6" s="156" t="s">
        <v>699</v>
      </c>
      <c r="G6" s="156" t="s">
        <v>700</v>
      </c>
      <c r="H6" s="156" t="s">
        <v>487</v>
      </c>
      <c r="I6" s="156" t="s">
        <v>359</v>
      </c>
    </row>
    <row r="7" spans="1:9">
      <c r="A7" t="str">
        <f t="shared" si="0"/>
        <v>Projet</v>
      </c>
      <c r="D7" t="s">
        <v>205</v>
      </c>
      <c r="E7" t="s">
        <v>488</v>
      </c>
      <c r="F7" s="156" t="s">
        <v>701</v>
      </c>
      <c r="G7" s="156" t="s">
        <v>702</v>
      </c>
      <c r="H7" s="156" t="s">
        <v>703</v>
      </c>
      <c r="I7" s="156" t="s">
        <v>704</v>
      </c>
    </row>
    <row r="8" spans="1:9">
      <c r="A8" t="str">
        <f t="shared" si="0"/>
        <v>Concepteur</v>
      </c>
      <c r="D8" t="s">
        <v>360</v>
      </c>
      <c r="E8" t="s">
        <v>489</v>
      </c>
      <c r="F8" s="156" t="s">
        <v>705</v>
      </c>
      <c r="G8" s="156" t="s">
        <v>706</v>
      </c>
      <c r="H8" s="156" t="s">
        <v>707</v>
      </c>
      <c r="I8" s="156" t="s">
        <v>708</v>
      </c>
    </row>
    <row r="9" spans="1:9">
      <c r="A9" t="str">
        <f t="shared" si="0"/>
        <v>Connexion n°</v>
      </c>
      <c r="D9" t="s">
        <v>361</v>
      </c>
      <c r="E9" t="s">
        <v>490</v>
      </c>
      <c r="F9" s="156" t="s">
        <v>709</v>
      </c>
      <c r="G9" s="156" t="s">
        <v>710</v>
      </c>
      <c r="H9" s="156" t="s">
        <v>711</v>
      </c>
      <c r="I9" s="156" t="s">
        <v>712</v>
      </c>
    </row>
    <row r="10" spans="1:9">
      <c r="A10" t="str">
        <f t="shared" si="0"/>
        <v>Norme</v>
      </c>
      <c r="D10" s="6" t="s">
        <v>432</v>
      </c>
      <c r="E10" s="6" t="s">
        <v>491</v>
      </c>
      <c r="F10" s="195" t="s">
        <v>713</v>
      </c>
      <c r="G10" s="195" t="s">
        <v>432</v>
      </c>
      <c r="H10" s="195" t="s">
        <v>714</v>
      </c>
      <c r="I10" s="195" t="s">
        <v>432</v>
      </c>
    </row>
    <row r="11" spans="1:9" ht="38.25">
      <c r="A11" t="str">
        <f t="shared" si="0"/>
        <v>Nombre efficace axial (non nécessaire)</v>
      </c>
      <c r="D11" t="s">
        <v>315</v>
      </c>
      <c r="E11" t="s">
        <v>492</v>
      </c>
      <c r="F11" s="156" t="s">
        <v>1355</v>
      </c>
      <c r="G11" s="156" t="s">
        <v>715</v>
      </c>
      <c r="H11" s="156" t="s">
        <v>716</v>
      </c>
      <c r="I11" s="156" t="s">
        <v>717</v>
      </c>
    </row>
    <row r="12" spans="1:9" ht="38.25">
      <c r="A12" t="str">
        <f t="shared" si="0"/>
        <v>Nombre efficace au cisaillement (non nécessaire)</v>
      </c>
      <c r="D12" t="s">
        <v>316</v>
      </c>
      <c r="E12" t="s">
        <v>493</v>
      </c>
      <c r="F12" s="156" t="s">
        <v>1356</v>
      </c>
      <c r="G12" s="156" t="s">
        <v>718</v>
      </c>
      <c r="H12" s="156" t="s">
        <v>719</v>
      </c>
      <c r="I12" s="156" t="s">
        <v>720</v>
      </c>
    </row>
    <row r="13" spans="1:9">
      <c r="A13" t="str">
        <f t="shared" si="0"/>
        <v>Sollicitations</v>
      </c>
      <c r="D13" s="6" t="s">
        <v>420</v>
      </c>
      <c r="E13" s="6" t="s">
        <v>494</v>
      </c>
      <c r="F13" s="195" t="s">
        <v>721</v>
      </c>
      <c r="G13" s="195" t="s">
        <v>722</v>
      </c>
      <c r="H13" s="195" t="s">
        <v>723</v>
      </c>
      <c r="I13" s="195" t="s">
        <v>724</v>
      </c>
    </row>
    <row r="14" spans="1:9">
      <c r="A14" t="str">
        <f t="shared" si="0"/>
        <v xml:space="preserve">Durée de la charge </v>
      </c>
      <c r="C14" s="166"/>
      <c r="D14" s="166" t="s">
        <v>433</v>
      </c>
      <c r="E14" s="166" t="s">
        <v>495</v>
      </c>
      <c r="F14" s="196" t="s">
        <v>725</v>
      </c>
      <c r="G14" s="196" t="s">
        <v>726</v>
      </c>
      <c r="H14" s="196" t="s">
        <v>727</v>
      </c>
      <c r="I14" s="196" t="s">
        <v>728</v>
      </c>
    </row>
    <row r="15" spans="1:9" ht="26.25" thickBot="1">
      <c r="A15" t="str">
        <f t="shared" si="0"/>
        <v>Longueur de l’assemblage</v>
      </c>
      <c r="C15" s="166"/>
      <c r="D15" s="166" t="s">
        <v>153</v>
      </c>
      <c r="E15" s="166" t="s">
        <v>496</v>
      </c>
      <c r="F15" s="196" t="s">
        <v>729</v>
      </c>
      <c r="G15" s="196" t="s">
        <v>730</v>
      </c>
      <c r="H15" s="196" t="s">
        <v>731</v>
      </c>
      <c r="I15" s="196" t="s">
        <v>732</v>
      </c>
    </row>
    <row r="16" spans="1:9" ht="25.5">
      <c r="A16" t="str">
        <f t="shared" si="0"/>
        <v>Action axiale parallèle à la connexion</v>
      </c>
      <c r="C16" s="166"/>
      <c r="D16" s="208" t="s">
        <v>1398</v>
      </c>
      <c r="E16" s="202" t="s">
        <v>1410</v>
      </c>
      <c r="F16" s="203" t="s">
        <v>1433</v>
      </c>
      <c r="G16" s="203" t="s">
        <v>1409</v>
      </c>
      <c r="H16" s="203" t="s">
        <v>1408</v>
      </c>
      <c r="I16" s="204" t="s">
        <v>1407</v>
      </c>
    </row>
    <row r="17" spans="1:9" ht="25.5">
      <c r="A17" t="str">
        <f t="shared" si="0"/>
        <v>Coupe perpendiculaire à la connexion, direction-x</v>
      </c>
      <c r="C17" s="166"/>
      <c r="D17" s="209" t="s">
        <v>1397</v>
      </c>
      <c r="E17" s="166" t="s">
        <v>1411</v>
      </c>
      <c r="F17" s="196" t="s">
        <v>1435</v>
      </c>
      <c r="G17" s="196" t="s">
        <v>1412</v>
      </c>
      <c r="H17" s="196" t="s">
        <v>1413</v>
      </c>
      <c r="I17" s="205" t="s">
        <v>1414</v>
      </c>
    </row>
    <row r="18" spans="1:9" ht="25.5">
      <c r="A18" t="str">
        <f t="shared" si="0"/>
        <v>Coupe perpendiculaire à la connexion, direction-z</v>
      </c>
      <c r="C18" s="166"/>
      <c r="D18" s="209" t="s">
        <v>1426</v>
      </c>
      <c r="E18" s="166" t="s">
        <v>1427</v>
      </c>
      <c r="F18" s="196" t="s">
        <v>1436</v>
      </c>
      <c r="G18" s="196" t="s">
        <v>1428</v>
      </c>
      <c r="H18" s="196" t="s">
        <v>1429</v>
      </c>
      <c r="I18" s="205" t="s">
        <v>1430</v>
      </c>
    </row>
    <row r="19" spans="1:9" ht="25.5">
      <c r="A19" t="str">
        <f t="shared" si="0"/>
        <v>Moment de flexion parallèle à la connexion</v>
      </c>
      <c r="C19" s="166"/>
      <c r="D19" s="209" t="s">
        <v>1399</v>
      </c>
      <c r="E19" s="166" t="s">
        <v>1419</v>
      </c>
      <c r="F19" s="196" t="s">
        <v>1418</v>
      </c>
      <c r="G19" s="196" t="s">
        <v>1417</v>
      </c>
      <c r="H19" s="196" t="s">
        <v>1416</v>
      </c>
      <c r="I19" s="205" t="s">
        <v>1415</v>
      </c>
    </row>
    <row r="20" spans="1:9" ht="25.5">
      <c r="A20" t="str">
        <f t="shared" si="0"/>
        <v>Fibres inférieures tendues</v>
      </c>
      <c r="C20" s="166"/>
      <c r="D20" s="209" t="s">
        <v>434</v>
      </c>
      <c r="E20" s="166" t="s">
        <v>497</v>
      </c>
      <c r="F20" s="196" t="s">
        <v>1357</v>
      </c>
      <c r="G20" s="196" t="s">
        <v>733</v>
      </c>
      <c r="H20" s="196" t="s">
        <v>734</v>
      </c>
      <c r="I20" s="205" t="s">
        <v>735</v>
      </c>
    </row>
    <row r="21" spans="1:9" ht="13.5" thickBot="1">
      <c r="A21" t="str">
        <f t="shared" si="0"/>
        <v>Momentum perpendiculaire à la connexion, plan-xz</v>
      </c>
      <c r="C21" s="166"/>
      <c r="D21" s="210" t="s">
        <v>1406</v>
      </c>
      <c r="E21" s="206" t="s">
        <v>1420</v>
      </c>
      <c r="F21" s="206" t="s">
        <v>1434</v>
      </c>
      <c r="G21" s="206" t="s">
        <v>1421</v>
      </c>
      <c r="H21" s="206" t="s">
        <v>1422</v>
      </c>
      <c r="I21" s="207" t="s">
        <v>1423</v>
      </c>
    </row>
    <row r="22" spans="1:9">
      <c r="A22" t="str">
        <f t="shared" si="0"/>
        <v>+ traction</v>
      </c>
      <c r="D22" s="151" t="s">
        <v>435</v>
      </c>
      <c r="E22" s="151" t="s">
        <v>498</v>
      </c>
      <c r="F22" s="197" t="s">
        <v>736</v>
      </c>
      <c r="G22" s="197" t="s">
        <v>737</v>
      </c>
      <c r="H22" s="197" t="s">
        <v>498</v>
      </c>
      <c r="I22" s="197" t="s">
        <v>738</v>
      </c>
    </row>
    <row r="23" spans="1:9">
      <c r="A23" t="str">
        <f t="shared" si="0"/>
        <v>- compression</v>
      </c>
      <c r="D23" s="151" t="s">
        <v>436</v>
      </c>
      <c r="E23" s="151" t="s">
        <v>499</v>
      </c>
      <c r="F23" s="197" t="s">
        <v>739</v>
      </c>
      <c r="G23" s="197" t="s">
        <v>740</v>
      </c>
      <c r="H23" s="197" t="s">
        <v>499</v>
      </c>
      <c r="I23" s="197" t="s">
        <v>741</v>
      </c>
    </row>
    <row r="24" spans="1:9" ht="25.5">
      <c r="A24" t="str">
        <f t="shared" si="0"/>
        <v>+ fibres tendues inférieures</v>
      </c>
      <c r="D24" s="151" t="s">
        <v>437</v>
      </c>
      <c r="E24" s="151" t="s">
        <v>500</v>
      </c>
      <c r="F24" s="197" t="s">
        <v>1358</v>
      </c>
      <c r="G24" s="197" t="s">
        <v>742</v>
      </c>
      <c r="H24" s="197" t="s">
        <v>743</v>
      </c>
      <c r="I24" s="197" t="s">
        <v>744</v>
      </c>
    </row>
    <row r="25" spans="1:9" ht="25.5">
      <c r="A25" t="str">
        <f t="shared" si="0"/>
        <v>- fibres tendues supérieures</v>
      </c>
      <c r="D25" s="151" t="s">
        <v>438</v>
      </c>
      <c r="E25" s="151" t="s">
        <v>501</v>
      </c>
      <c r="F25" s="197" t="s">
        <v>1359</v>
      </c>
      <c r="G25" s="197" t="s">
        <v>745</v>
      </c>
      <c r="H25" s="197" t="s">
        <v>746</v>
      </c>
      <c r="I25" s="197" t="s">
        <v>747</v>
      </c>
    </row>
    <row r="26" spans="1:9">
      <c r="A26" t="str">
        <f t="shared" si="0"/>
        <v>Permanente</v>
      </c>
      <c r="D26" t="s">
        <v>439</v>
      </c>
      <c r="E26" t="s">
        <v>502</v>
      </c>
      <c r="F26" s="156" t="s">
        <v>748</v>
      </c>
      <c r="G26" s="156" t="s">
        <v>439</v>
      </c>
      <c r="H26" s="156" t="s">
        <v>439</v>
      </c>
      <c r="I26" s="156" t="s">
        <v>439</v>
      </c>
    </row>
    <row r="27" spans="1:9">
      <c r="A27" t="str">
        <f t="shared" si="0"/>
        <v>Longue</v>
      </c>
      <c r="D27" t="s">
        <v>79</v>
      </c>
      <c r="E27" t="s">
        <v>680</v>
      </c>
      <c r="F27" s="156" t="s">
        <v>749</v>
      </c>
      <c r="G27" s="156" t="s">
        <v>750</v>
      </c>
      <c r="H27" s="156" t="s">
        <v>751</v>
      </c>
      <c r="I27" s="156" t="s">
        <v>752</v>
      </c>
    </row>
    <row r="28" spans="1:9">
      <c r="A28" t="str">
        <f t="shared" si="0"/>
        <v>Moyenne</v>
      </c>
      <c r="D28" t="s">
        <v>80</v>
      </c>
      <c r="E28" t="s">
        <v>681</v>
      </c>
      <c r="F28" s="156" t="s">
        <v>753</v>
      </c>
      <c r="G28" s="156" t="s">
        <v>80</v>
      </c>
      <c r="H28" s="156" t="s">
        <v>754</v>
      </c>
      <c r="I28" s="156" t="s">
        <v>755</v>
      </c>
    </row>
    <row r="29" spans="1:9">
      <c r="A29" t="str">
        <f t="shared" si="0"/>
        <v>Courte</v>
      </c>
      <c r="D29" t="s">
        <v>76</v>
      </c>
      <c r="E29" t="s">
        <v>682</v>
      </c>
      <c r="F29" s="156" t="s">
        <v>756</v>
      </c>
      <c r="G29" s="156" t="s">
        <v>757</v>
      </c>
      <c r="H29" s="156" t="s">
        <v>758</v>
      </c>
      <c r="I29" s="156" t="s">
        <v>759</v>
      </c>
    </row>
    <row r="30" spans="1:9">
      <c r="A30" t="str">
        <f t="shared" si="0"/>
        <v>Instantanée</v>
      </c>
      <c r="D30" t="s">
        <v>81</v>
      </c>
      <c r="E30" t="s">
        <v>683</v>
      </c>
      <c r="F30" s="156" t="s">
        <v>760</v>
      </c>
      <c r="G30" s="156" t="s">
        <v>761</v>
      </c>
      <c r="H30" s="156" t="s">
        <v>762</v>
      </c>
      <c r="I30" s="156" t="s">
        <v>763</v>
      </c>
    </row>
    <row r="31" spans="1:9">
      <c r="A31" t="str">
        <f t="shared" si="0"/>
        <v>Brève/Instantanée</v>
      </c>
      <c r="D31" t="s">
        <v>440</v>
      </c>
      <c r="E31" t="s">
        <v>684</v>
      </c>
      <c r="F31" s="156" t="s">
        <v>764</v>
      </c>
      <c r="G31" s="156" t="s">
        <v>765</v>
      </c>
      <c r="H31" s="156" t="s">
        <v>766</v>
      </c>
      <c r="I31" s="156" t="s">
        <v>767</v>
      </c>
    </row>
    <row r="32" spans="1:9">
      <c r="A32" t="str">
        <f t="shared" si="0"/>
        <v>Composition du panneau</v>
      </c>
      <c r="D32" s="6" t="s">
        <v>0</v>
      </c>
      <c r="E32" s="6" t="s">
        <v>503</v>
      </c>
      <c r="F32" s="195" t="s">
        <v>768</v>
      </c>
      <c r="G32" s="195" t="s">
        <v>769</v>
      </c>
      <c r="H32" s="195" t="s">
        <v>770</v>
      </c>
      <c r="I32" s="195" t="s">
        <v>771</v>
      </c>
    </row>
    <row r="33" spans="1:9">
      <c r="A33" t="str">
        <f t="shared" si="0"/>
        <v>Classe</v>
      </c>
      <c r="D33" t="s">
        <v>82</v>
      </c>
      <c r="E33" t="s">
        <v>504</v>
      </c>
      <c r="F33" s="156" t="s">
        <v>772</v>
      </c>
      <c r="G33" s="156" t="s">
        <v>773</v>
      </c>
      <c r="H33" s="156" t="s">
        <v>82</v>
      </c>
      <c r="I33" s="156" t="s">
        <v>82</v>
      </c>
    </row>
    <row r="34" spans="1:9">
      <c r="A34" t="str">
        <f t="shared" si="0"/>
        <v>N° de couches</v>
      </c>
      <c r="D34" t="s">
        <v>17</v>
      </c>
      <c r="E34" t="s">
        <v>505</v>
      </c>
      <c r="F34" s="156" t="s">
        <v>774</v>
      </c>
      <c r="G34" s="156" t="s">
        <v>775</v>
      </c>
      <c r="H34" s="156" t="s">
        <v>776</v>
      </c>
      <c r="I34" s="156" t="s">
        <v>777</v>
      </c>
    </row>
    <row r="35" spans="1:9">
      <c r="A35" t="str">
        <f t="shared" si="0"/>
        <v>Type</v>
      </c>
      <c r="D35" t="s">
        <v>16</v>
      </c>
      <c r="E35" t="s">
        <v>506</v>
      </c>
      <c r="F35" s="156" t="s">
        <v>778</v>
      </c>
      <c r="G35" s="156" t="s">
        <v>16</v>
      </c>
      <c r="H35" s="156" t="s">
        <v>506</v>
      </c>
      <c r="I35" s="156" t="s">
        <v>16</v>
      </c>
    </row>
    <row r="36" spans="1:9">
      <c r="A36" t="str">
        <f t="shared" si="0"/>
        <v>Épaisseur</v>
      </c>
      <c r="D36" t="s">
        <v>57</v>
      </c>
      <c r="E36" t="s">
        <v>507</v>
      </c>
      <c r="F36" s="156" t="s">
        <v>779</v>
      </c>
      <c r="G36" s="156" t="s">
        <v>780</v>
      </c>
      <c r="H36" s="156" t="s">
        <v>781</v>
      </c>
      <c r="I36" s="156" t="s">
        <v>782</v>
      </c>
    </row>
    <row r="37" spans="1:9">
      <c r="A37" t="str">
        <f t="shared" si="0"/>
        <v xml:space="preserve">Orientation </v>
      </c>
      <c r="D37" t="s">
        <v>104</v>
      </c>
      <c r="E37" t="s">
        <v>508</v>
      </c>
      <c r="F37" s="156" t="s">
        <v>783</v>
      </c>
      <c r="G37" s="156" t="s">
        <v>784</v>
      </c>
      <c r="H37" s="156" t="s">
        <v>785</v>
      </c>
      <c r="I37" s="156" t="s">
        <v>786</v>
      </c>
    </row>
    <row r="38" spans="1:9" ht="51">
      <c r="A38" t="str">
        <f t="shared" si="0"/>
        <v>L-Fibre couches externes perpendiculaires à la ligne de l'assemblage</v>
      </c>
      <c r="D38" s="166" t="s">
        <v>441</v>
      </c>
      <c r="E38" s="166" t="s">
        <v>509</v>
      </c>
      <c r="F38" s="196" t="s">
        <v>787</v>
      </c>
      <c r="G38" s="196" t="s">
        <v>788</v>
      </c>
      <c r="H38" s="196" t="s">
        <v>789</v>
      </c>
      <c r="I38" s="196" t="s">
        <v>790</v>
      </c>
    </row>
    <row r="39" spans="1:9" ht="38.25">
      <c r="A39" t="str">
        <f t="shared" si="0"/>
        <v>T-Fibre couches externes parallèles à la ligne de l'assemblage</v>
      </c>
      <c r="D39" s="166" t="s">
        <v>665</v>
      </c>
      <c r="E39" s="166" t="s">
        <v>666</v>
      </c>
      <c r="F39" s="196" t="s">
        <v>791</v>
      </c>
      <c r="G39" s="196" t="s">
        <v>792</v>
      </c>
      <c r="H39" s="196" t="s">
        <v>793</v>
      </c>
      <c r="I39" s="196" t="s">
        <v>794</v>
      </c>
    </row>
    <row r="40" spans="1:9">
      <c r="A40" t="str">
        <f t="shared" si="0"/>
        <v>Vis</v>
      </c>
      <c r="D40" s="6" t="s">
        <v>115</v>
      </c>
      <c r="E40" s="6" t="s">
        <v>510</v>
      </c>
      <c r="F40" s="195" t="s">
        <v>795</v>
      </c>
      <c r="G40" s="195" t="s">
        <v>796</v>
      </c>
      <c r="H40" s="195" t="s">
        <v>797</v>
      </c>
      <c r="I40" s="195" t="s">
        <v>798</v>
      </c>
    </row>
    <row r="41" spans="1:9">
      <c r="A41" t="str">
        <f t="shared" si="0"/>
        <v>Type de vis</v>
      </c>
      <c r="D41" t="s">
        <v>50</v>
      </c>
      <c r="E41" t="s">
        <v>511</v>
      </c>
      <c r="F41" s="156" t="s">
        <v>1360</v>
      </c>
      <c r="G41" s="156" t="s">
        <v>799</v>
      </c>
      <c r="H41" s="156" t="s">
        <v>800</v>
      </c>
      <c r="I41" s="156" t="s">
        <v>801</v>
      </c>
    </row>
    <row r="42" spans="1:9">
      <c r="A42" t="str">
        <f t="shared" si="0"/>
        <v>Diamètre</v>
      </c>
      <c r="D42" t="s">
        <v>364</v>
      </c>
      <c r="E42" t="s">
        <v>512</v>
      </c>
      <c r="F42" s="156" t="s">
        <v>802</v>
      </c>
      <c r="G42" s="156" t="s">
        <v>803</v>
      </c>
      <c r="H42" s="156" t="s">
        <v>804</v>
      </c>
      <c r="I42" s="156" t="s">
        <v>805</v>
      </c>
    </row>
    <row r="43" spans="1:9">
      <c r="A43" t="str">
        <f t="shared" si="0"/>
        <v xml:space="preserve">Longueur </v>
      </c>
      <c r="D43" t="s">
        <v>365</v>
      </c>
      <c r="E43" t="s">
        <v>513</v>
      </c>
      <c r="F43" s="156" t="s">
        <v>806</v>
      </c>
      <c r="G43" s="156" t="s">
        <v>807</v>
      </c>
      <c r="H43" s="156" t="s">
        <v>808</v>
      </c>
      <c r="I43" s="156" t="s">
        <v>809</v>
      </c>
    </row>
    <row r="44" spans="1:9">
      <c r="A44" t="str">
        <f t="shared" si="0"/>
        <v>Espacement supérieur</v>
      </c>
      <c r="D44" t="s">
        <v>398</v>
      </c>
      <c r="E44" t="s">
        <v>514</v>
      </c>
      <c r="F44" s="156" t="s">
        <v>810</v>
      </c>
      <c r="G44" s="156" t="s">
        <v>811</v>
      </c>
      <c r="H44" s="156" t="s">
        <v>812</v>
      </c>
      <c r="I44" s="156" t="s">
        <v>813</v>
      </c>
    </row>
    <row r="45" spans="1:9">
      <c r="A45" t="str">
        <f t="shared" si="0"/>
        <v>Espacement inférieur</v>
      </c>
      <c r="D45" t="s">
        <v>399</v>
      </c>
      <c r="E45" t="s">
        <v>515</v>
      </c>
      <c r="F45" s="156" t="s">
        <v>814</v>
      </c>
      <c r="G45" s="156" t="s">
        <v>815</v>
      </c>
      <c r="H45" s="156" t="s">
        <v>816</v>
      </c>
      <c r="I45" s="156" t="s">
        <v>817</v>
      </c>
    </row>
    <row r="46" spans="1:9">
      <c r="A46" t="str">
        <f t="shared" si="0"/>
        <v>Lame (Y/N)</v>
      </c>
      <c r="D46" s="166" t="s">
        <v>419</v>
      </c>
      <c r="E46" s="166" t="s">
        <v>516</v>
      </c>
      <c r="F46" s="196" t="s">
        <v>1361</v>
      </c>
      <c r="G46" s="196" t="s">
        <v>818</v>
      </c>
      <c r="H46" s="196" t="s">
        <v>819</v>
      </c>
      <c r="I46" s="196" t="s">
        <v>820</v>
      </c>
    </row>
    <row r="47" spans="1:9" ht="25.5">
      <c r="A47" t="str">
        <f t="shared" si="0"/>
        <v>Nombre de vis supérieures/mètre</v>
      </c>
      <c r="D47" t="s">
        <v>366</v>
      </c>
      <c r="E47" t="s">
        <v>517</v>
      </c>
      <c r="F47" s="156" t="s">
        <v>821</v>
      </c>
      <c r="G47" s="156" t="s">
        <v>822</v>
      </c>
      <c r="H47" s="156" t="s">
        <v>823</v>
      </c>
      <c r="I47" s="156" t="s">
        <v>824</v>
      </c>
    </row>
    <row r="48" spans="1:9" ht="25.5">
      <c r="A48" t="str">
        <f t="shared" si="0"/>
        <v>Nombre de vis inférieures/mètre</v>
      </c>
      <c r="D48" t="s">
        <v>367</v>
      </c>
      <c r="E48" t="s">
        <v>518</v>
      </c>
      <c r="F48" s="156" t="s">
        <v>825</v>
      </c>
      <c r="G48" s="156" t="s">
        <v>826</v>
      </c>
      <c r="H48" s="156" t="s">
        <v>827</v>
      </c>
      <c r="I48" s="156" t="s">
        <v>828</v>
      </c>
    </row>
    <row r="49" spans="1:9" ht="25.5">
      <c r="A49" t="str">
        <f t="shared" si="0"/>
        <v>Longueur ancrage minimum (Concrete)</v>
      </c>
      <c r="D49" t="s">
        <v>368</v>
      </c>
      <c r="E49" t="s">
        <v>519</v>
      </c>
      <c r="F49" s="156" t="s">
        <v>1362</v>
      </c>
      <c r="G49" s="156" t="s">
        <v>829</v>
      </c>
      <c r="H49" s="156" t="s">
        <v>830</v>
      </c>
      <c r="I49" s="156" t="s">
        <v>831</v>
      </c>
    </row>
    <row r="50" spans="1:9" ht="38.25">
      <c r="A50" t="str">
        <f t="shared" si="0"/>
        <v>Longueur de superposition minimum (Concrete)</v>
      </c>
      <c r="D50" t="s">
        <v>369</v>
      </c>
      <c r="E50" t="s">
        <v>520</v>
      </c>
      <c r="F50" s="156" t="s">
        <v>1363</v>
      </c>
      <c r="G50" s="156" t="s">
        <v>832</v>
      </c>
      <c r="H50" s="156" t="s">
        <v>833</v>
      </c>
      <c r="I50" s="156" t="s">
        <v>834</v>
      </c>
    </row>
    <row r="51" spans="1:9" ht="25.5">
      <c r="A51" t="str">
        <f t="shared" si="0"/>
        <v>Longueur de pénétration minimum (Timber)</v>
      </c>
      <c r="D51" t="s">
        <v>370</v>
      </c>
      <c r="E51" t="s">
        <v>521</v>
      </c>
      <c r="F51" s="156" t="s">
        <v>1364</v>
      </c>
      <c r="G51" s="156" t="s">
        <v>835</v>
      </c>
      <c r="H51" s="156" t="s">
        <v>836</v>
      </c>
      <c r="I51" s="156" t="s">
        <v>837</v>
      </c>
    </row>
    <row r="52" spans="1:9">
      <c r="A52" t="str">
        <f t="shared" si="0"/>
        <v>Distance bord a4t</v>
      </c>
      <c r="D52" t="s">
        <v>328</v>
      </c>
      <c r="E52" t="s">
        <v>522</v>
      </c>
      <c r="F52" s="156" t="s">
        <v>838</v>
      </c>
      <c r="G52" s="156" t="s">
        <v>839</v>
      </c>
      <c r="H52" s="156" t="s">
        <v>840</v>
      </c>
      <c r="I52" s="156" t="s">
        <v>841</v>
      </c>
    </row>
    <row r="53" spans="1:9" ht="25.5">
      <c r="A53" t="str">
        <f t="shared" si="0"/>
        <v>Distance minimum bord a4t</v>
      </c>
      <c r="D53" t="s">
        <v>61</v>
      </c>
      <c r="E53" t="s">
        <v>523</v>
      </c>
      <c r="F53" s="156" t="s">
        <v>842</v>
      </c>
      <c r="G53" s="156" t="s">
        <v>843</v>
      </c>
      <c r="H53" s="156" t="s">
        <v>844</v>
      </c>
      <c r="I53" s="156" t="s">
        <v>845</v>
      </c>
    </row>
    <row r="54" spans="1:9">
      <c r="A54" t="str">
        <f t="shared" si="0"/>
        <v>Béton</v>
      </c>
      <c r="D54" s="6" t="s">
        <v>23</v>
      </c>
      <c r="E54" s="6" t="s">
        <v>327</v>
      </c>
      <c r="F54" s="195" t="s">
        <v>846</v>
      </c>
      <c r="G54" s="195" t="s">
        <v>847</v>
      </c>
      <c r="H54" s="195" t="s">
        <v>848</v>
      </c>
      <c r="I54" s="195" t="s">
        <v>849</v>
      </c>
    </row>
    <row r="55" spans="1:9">
      <c r="A55" t="str">
        <f t="shared" si="0"/>
        <v>Classe du béton</v>
      </c>
      <c r="D55" s="166" t="s">
        <v>63</v>
      </c>
      <c r="E55" s="166" t="s">
        <v>524</v>
      </c>
      <c r="F55" s="196" t="s">
        <v>850</v>
      </c>
      <c r="G55" s="196" t="s">
        <v>851</v>
      </c>
      <c r="H55" s="196" t="s">
        <v>852</v>
      </c>
      <c r="I55" s="196" t="s">
        <v>853</v>
      </c>
    </row>
    <row r="56" spans="1:9">
      <c r="A56" t="str">
        <f t="shared" si="0"/>
        <v>Diamètre étriers</v>
      </c>
      <c r="D56" s="166" t="s">
        <v>24</v>
      </c>
      <c r="E56" s="166" t="s">
        <v>644</v>
      </c>
      <c r="F56" s="196" t="s">
        <v>854</v>
      </c>
      <c r="G56" s="196" t="s">
        <v>855</v>
      </c>
      <c r="H56" s="196" t="s">
        <v>856</v>
      </c>
      <c r="I56" s="196" t="s">
        <v>857</v>
      </c>
    </row>
    <row r="57" spans="1:9" ht="25.5">
      <c r="A57" t="str">
        <f t="shared" si="0"/>
        <v>Diamètre barres longitudinales</v>
      </c>
      <c r="D57" s="166" t="s">
        <v>400</v>
      </c>
      <c r="E57" s="166" t="s">
        <v>525</v>
      </c>
      <c r="F57" s="196" t="s">
        <v>858</v>
      </c>
      <c r="G57" s="196" t="s">
        <v>859</v>
      </c>
      <c r="H57" s="196" t="s">
        <v>860</v>
      </c>
      <c r="I57" s="196" t="s">
        <v>861</v>
      </c>
    </row>
    <row r="58" spans="1:9" ht="25.5">
      <c r="A58" t="str">
        <f t="shared" si="0"/>
        <v>Diamètre agrégat (*)</v>
      </c>
      <c r="D58" s="166" t="s">
        <v>669</v>
      </c>
      <c r="E58" s="166" t="s">
        <v>670</v>
      </c>
      <c r="F58" s="196" t="s">
        <v>1365</v>
      </c>
      <c r="G58" s="196" t="s">
        <v>862</v>
      </c>
      <c r="H58" s="196" t="s">
        <v>863</v>
      </c>
      <c r="I58" s="196" t="s">
        <v>864</v>
      </c>
    </row>
    <row r="59" spans="1:9" ht="25.5">
      <c r="A59" t="str">
        <f t="shared" si="0"/>
        <v>Classe d’exposition environnementale</v>
      </c>
      <c r="D59" s="166" t="s">
        <v>384</v>
      </c>
      <c r="E59" s="166" t="s">
        <v>526</v>
      </c>
      <c r="F59" s="196" t="s">
        <v>865</v>
      </c>
      <c r="G59" s="196" t="s">
        <v>866</v>
      </c>
      <c r="H59" s="196" t="s">
        <v>867</v>
      </c>
      <c r="I59" s="196" t="s">
        <v>868</v>
      </c>
    </row>
    <row r="60" spans="1:9" ht="25.5">
      <c r="A60" t="str">
        <f t="shared" si="0"/>
        <v>Enrobage minimum étriers</v>
      </c>
      <c r="D60" s="166" t="s">
        <v>401</v>
      </c>
      <c r="E60" s="166" t="s">
        <v>645</v>
      </c>
      <c r="F60" s="196" t="s">
        <v>869</v>
      </c>
      <c r="G60" s="196" t="s">
        <v>870</v>
      </c>
      <c r="H60" s="196" t="s">
        <v>871</v>
      </c>
      <c r="I60" s="196" t="s">
        <v>872</v>
      </c>
    </row>
    <row r="61" spans="1:9" ht="25.5">
      <c r="A61" t="str">
        <f t="shared" si="0"/>
        <v>Enrobage minimum barres longitudinales</v>
      </c>
      <c r="D61" s="166" t="s">
        <v>402</v>
      </c>
      <c r="E61" s="166" t="s">
        <v>527</v>
      </c>
      <c r="F61" s="196" t="s">
        <v>1366</v>
      </c>
      <c r="G61" s="196" t="s">
        <v>873</v>
      </c>
      <c r="H61" s="196" t="s">
        <v>874</v>
      </c>
      <c r="I61" s="196" t="s">
        <v>875</v>
      </c>
    </row>
    <row r="62" spans="1:9" ht="25.5">
      <c r="A62" t="str">
        <f t="shared" si="0"/>
        <v>Distance axe barres longitudinales</v>
      </c>
      <c r="D62" s="166" t="s">
        <v>49</v>
      </c>
      <c r="E62" s="166" t="s">
        <v>528</v>
      </c>
      <c r="F62" s="196" t="s">
        <v>876</v>
      </c>
      <c r="G62" s="196" t="s">
        <v>877</v>
      </c>
      <c r="H62" s="196" t="s">
        <v>878</v>
      </c>
      <c r="I62" s="196" t="s">
        <v>879</v>
      </c>
    </row>
    <row r="63" spans="1:9">
      <c r="A63" t="str">
        <f t="shared" si="0"/>
        <v>Largeur minimum bordure</v>
      </c>
      <c r="D63" t="s">
        <v>403</v>
      </c>
      <c r="E63" t="s">
        <v>529</v>
      </c>
      <c r="F63" s="156" t="s">
        <v>880</v>
      </c>
      <c r="G63" s="156" t="s">
        <v>881</v>
      </c>
      <c r="H63" s="156" t="s">
        <v>882</v>
      </c>
      <c r="I63" s="156" t="s">
        <v>883</v>
      </c>
    </row>
    <row r="64" spans="1:9">
      <c r="A64" t="str">
        <f t="shared" si="0"/>
        <v>Résistances</v>
      </c>
      <c r="D64" s="6" t="s">
        <v>106</v>
      </c>
      <c r="E64" s="6" t="s">
        <v>530</v>
      </c>
      <c r="F64" s="195" t="s">
        <v>884</v>
      </c>
      <c r="G64" s="195" t="s">
        <v>885</v>
      </c>
      <c r="H64" s="195" t="s">
        <v>886</v>
      </c>
      <c r="I64" s="195" t="s">
        <v>887</v>
      </c>
    </row>
    <row r="65" spans="1:9" ht="38.25">
      <c r="A65" t="str">
        <f t="shared" si="0"/>
        <v>Résistance à la compression bois (design)</v>
      </c>
      <c r="D65" t="s">
        <v>107</v>
      </c>
      <c r="E65" t="s">
        <v>531</v>
      </c>
      <c r="F65" s="156" t="s">
        <v>888</v>
      </c>
      <c r="G65" s="156" t="s">
        <v>889</v>
      </c>
      <c r="H65" s="156" t="s">
        <v>890</v>
      </c>
      <c r="I65" s="156" t="s">
        <v>891</v>
      </c>
    </row>
    <row r="66" spans="1:9" ht="38.25">
      <c r="A66" t="str">
        <f t="shared" si="0"/>
        <v>Résistance à la compression béton CLS (design)</v>
      </c>
      <c r="D66" t="s">
        <v>108</v>
      </c>
      <c r="E66" t="s">
        <v>532</v>
      </c>
      <c r="F66" s="156" t="s">
        <v>892</v>
      </c>
      <c r="G66" s="156" t="s">
        <v>893</v>
      </c>
      <c r="H66" s="156" t="s">
        <v>894</v>
      </c>
      <c r="I66" s="156" t="s">
        <v>895</v>
      </c>
    </row>
    <row r="67" spans="1:9">
      <c r="A67" t="str">
        <f t="shared" si="0"/>
        <v>min(T,CA)</v>
      </c>
      <c r="D67" t="s">
        <v>109</v>
      </c>
      <c r="E67" t="s">
        <v>533</v>
      </c>
      <c r="F67" s="156" t="s">
        <v>109</v>
      </c>
      <c r="G67" s="156" t="s">
        <v>109</v>
      </c>
      <c r="H67" s="156" t="s">
        <v>109</v>
      </c>
      <c r="I67" s="156" t="s">
        <v>109</v>
      </c>
    </row>
    <row r="68" spans="1:9">
      <c r="A68" t="str">
        <f t="shared" ref="A68:A131" si="1">IF($B$1=$D$1,D68,IF($B$1=$E$1,E68,IF($B$1=$F$1,F68,IF($B$1=$G$1,G68,IF($B$1=$H$1,H68,IF($B$1=$I$1,I68,"ERROR"))))))</f>
        <v>Tension d’adhérence</v>
      </c>
      <c r="D68" t="s">
        <v>101</v>
      </c>
      <c r="E68" t="s">
        <v>534</v>
      </c>
      <c r="F68" s="156" t="s">
        <v>896</v>
      </c>
      <c r="G68" s="156" t="s">
        <v>897</v>
      </c>
      <c r="H68" s="156" t="s">
        <v>898</v>
      </c>
      <c r="I68" s="156" t="s">
        <v>899</v>
      </c>
    </row>
    <row r="69" spans="1:9">
      <c r="A69" t="str">
        <f t="shared" si="1"/>
        <v>Géométrie effective</v>
      </c>
      <c r="D69" s="6" t="s">
        <v>52</v>
      </c>
      <c r="E69" s="6" t="s">
        <v>535</v>
      </c>
      <c r="F69" s="195" t="s">
        <v>900</v>
      </c>
      <c r="G69" s="195" t="s">
        <v>901</v>
      </c>
      <c r="H69" s="195" t="s">
        <v>902</v>
      </c>
      <c r="I69" s="195" t="s">
        <v>903</v>
      </c>
    </row>
    <row r="70" spans="1:9" ht="25.5">
      <c r="A70" t="str">
        <f t="shared" si="1"/>
        <v>Distance axe barres longitudinales</v>
      </c>
      <c r="D70" t="s">
        <v>49</v>
      </c>
      <c r="E70" t="s">
        <v>536</v>
      </c>
      <c r="F70" s="156" t="s">
        <v>876</v>
      </c>
      <c r="G70" s="156" t="s">
        <v>877</v>
      </c>
      <c r="H70" s="156" t="s">
        <v>878</v>
      </c>
      <c r="I70" s="156" t="s">
        <v>879</v>
      </c>
    </row>
    <row r="71" spans="1:9" ht="25.5">
      <c r="A71" t="str">
        <f t="shared" si="1"/>
        <v>Largeur effective bordure</v>
      </c>
      <c r="D71" s="166" t="s">
        <v>404</v>
      </c>
      <c r="E71" s="166" t="s">
        <v>537</v>
      </c>
      <c r="F71" s="196" t="s">
        <v>1367</v>
      </c>
      <c r="G71" s="196" t="s">
        <v>904</v>
      </c>
      <c r="H71" s="196" t="s">
        <v>905</v>
      </c>
      <c r="I71" s="196" t="s">
        <v>906</v>
      </c>
    </row>
    <row r="72" spans="1:9" ht="25.5">
      <c r="A72" t="str">
        <f t="shared" si="1"/>
        <v>Longueur de superposition</v>
      </c>
      <c r="D72" s="166" t="s">
        <v>56</v>
      </c>
      <c r="E72" s="166" t="s">
        <v>538</v>
      </c>
      <c r="F72" s="196" t="s">
        <v>907</v>
      </c>
      <c r="G72" s="196" t="s">
        <v>908</v>
      </c>
      <c r="H72" s="196" t="s">
        <v>909</v>
      </c>
      <c r="I72" s="196" t="s">
        <v>910</v>
      </c>
    </row>
    <row r="73" spans="1:9" ht="25.5">
      <c r="A73" t="str">
        <f t="shared" si="1"/>
        <v>Longueur d’ancrage</v>
      </c>
      <c r="D73" s="166" t="s">
        <v>331</v>
      </c>
      <c r="E73" s="166" t="s">
        <v>539</v>
      </c>
      <c r="F73" s="196" t="s">
        <v>911</v>
      </c>
      <c r="G73" s="196" t="s">
        <v>912</v>
      </c>
      <c r="H73" s="196" t="s">
        <v>913</v>
      </c>
      <c r="I73" s="196" t="s">
        <v>914</v>
      </c>
    </row>
    <row r="74" spans="1:9" ht="38.25">
      <c r="A74" t="str">
        <f t="shared" si="1"/>
        <v>Distance du bord réel des vis</v>
      </c>
      <c r="D74" s="166" t="s">
        <v>60</v>
      </c>
      <c r="E74" s="166" t="s">
        <v>620</v>
      </c>
      <c r="F74" s="196" t="s">
        <v>1368</v>
      </c>
      <c r="G74" s="196" t="s">
        <v>915</v>
      </c>
      <c r="H74" s="196" t="s">
        <v>916</v>
      </c>
      <c r="I74" s="196" t="s">
        <v>917</v>
      </c>
    </row>
    <row r="75" spans="1:9" ht="38.25">
      <c r="A75" t="str">
        <f t="shared" si="1"/>
        <v>Vérification cohérence position vis/barres</v>
      </c>
      <c r="D75" s="166" t="s">
        <v>329</v>
      </c>
      <c r="E75" s="166" t="s">
        <v>540</v>
      </c>
      <c r="F75" s="196" t="s">
        <v>1369</v>
      </c>
      <c r="G75" s="196" t="s">
        <v>918</v>
      </c>
      <c r="H75" s="196" t="s">
        <v>919</v>
      </c>
      <c r="I75" s="196" t="s">
        <v>920</v>
      </c>
    </row>
    <row r="76" spans="1:9" ht="25.5">
      <c r="A76" t="str">
        <f t="shared" si="1"/>
        <v>Distance vis section supérieure</v>
      </c>
      <c r="D76" s="166" t="s">
        <v>247</v>
      </c>
      <c r="E76" s="166" t="s">
        <v>541</v>
      </c>
      <c r="F76" s="196" t="s">
        <v>921</v>
      </c>
      <c r="G76" s="196" t="s">
        <v>922</v>
      </c>
      <c r="H76" s="196" t="s">
        <v>923</v>
      </c>
      <c r="I76" s="196" t="s">
        <v>924</v>
      </c>
    </row>
    <row r="77" spans="1:9" ht="38.25">
      <c r="A77" t="str">
        <f t="shared" si="1"/>
        <v>Longueur filetage vis CA (*)</v>
      </c>
      <c r="D77" t="s">
        <v>372</v>
      </c>
      <c r="E77" t="s">
        <v>542</v>
      </c>
      <c r="F77" s="156" t="s">
        <v>925</v>
      </c>
      <c r="G77" s="156" t="s">
        <v>926</v>
      </c>
      <c r="H77" s="156" t="s">
        <v>927</v>
      </c>
      <c r="I77" s="156" t="s">
        <v>928</v>
      </c>
    </row>
    <row r="78" spans="1:9" ht="25.5">
      <c r="A78" t="str">
        <f t="shared" si="1"/>
        <v>Longueur filetage vis Bois</v>
      </c>
      <c r="D78" t="s">
        <v>86</v>
      </c>
      <c r="E78" t="s">
        <v>543</v>
      </c>
      <c r="F78" s="156" t="s">
        <v>929</v>
      </c>
      <c r="G78" s="156" t="s">
        <v>930</v>
      </c>
      <c r="H78" s="156" t="s">
        <v>931</v>
      </c>
      <c r="I78" s="156" t="s">
        <v>932</v>
      </c>
    </row>
    <row r="79" spans="1:9" ht="38.25">
      <c r="A79" t="str">
        <f t="shared" si="1"/>
        <v>Longueur efficace filetage vis Bois</v>
      </c>
      <c r="D79" t="s">
        <v>85</v>
      </c>
      <c r="E79" t="s">
        <v>544</v>
      </c>
      <c r="F79" s="156" t="s">
        <v>933</v>
      </c>
      <c r="G79" s="156" t="s">
        <v>934</v>
      </c>
      <c r="H79" s="156" t="s">
        <v>935</v>
      </c>
      <c r="I79" s="156" t="s">
        <v>936</v>
      </c>
    </row>
    <row r="80" spans="1:9" ht="38.25">
      <c r="A80" t="str">
        <f t="shared" si="1"/>
        <v>Distance entre vis supérieures/inférieures</v>
      </c>
      <c r="D80" t="s">
        <v>406</v>
      </c>
      <c r="E80" t="s">
        <v>545</v>
      </c>
      <c r="F80" s="156" t="s">
        <v>937</v>
      </c>
      <c r="G80" s="156" t="s">
        <v>938</v>
      </c>
      <c r="H80" s="156" t="s">
        <v>939</v>
      </c>
      <c r="I80" s="156" t="s">
        <v>940</v>
      </c>
    </row>
    <row r="81" spans="1:9" ht="76.5">
      <c r="A81" t="str">
        <f t="shared" si="1"/>
        <v>(*) nous supposons que la vis pénètre dans la bordure jusqu'à la barre d'armature opposée</v>
      </c>
      <c r="D81" s="166" t="s">
        <v>371</v>
      </c>
      <c r="E81" s="166" t="s">
        <v>546</v>
      </c>
      <c r="F81" s="196" t="s">
        <v>1370</v>
      </c>
      <c r="G81" s="196" t="s">
        <v>941</v>
      </c>
      <c r="H81" s="196" t="s">
        <v>942</v>
      </c>
      <c r="I81" s="196" t="s">
        <v>943</v>
      </c>
    </row>
    <row r="82" spans="1:9">
      <c r="A82" t="str">
        <f t="shared" si="1"/>
        <v>Vérification</v>
      </c>
      <c r="D82" s="6" t="s">
        <v>442</v>
      </c>
      <c r="E82" s="6" t="s">
        <v>547</v>
      </c>
      <c r="F82" s="195" t="s">
        <v>944</v>
      </c>
      <c r="G82" s="195" t="s">
        <v>945</v>
      </c>
      <c r="H82" s="195" t="s">
        <v>946</v>
      </c>
      <c r="I82" s="195" t="s">
        <v>947</v>
      </c>
    </row>
    <row r="83" spans="1:9" ht="25.5">
      <c r="A83" t="str">
        <f t="shared" si="1"/>
        <v>Action maximale sur chaque vis</v>
      </c>
      <c r="D83" t="s">
        <v>425</v>
      </c>
      <c r="E83" t="s">
        <v>548</v>
      </c>
      <c r="F83" s="156" t="s">
        <v>948</v>
      </c>
      <c r="G83" s="156" t="s">
        <v>949</v>
      </c>
      <c r="H83" s="156" t="s">
        <v>950</v>
      </c>
      <c r="I83" s="156" t="s">
        <v>951</v>
      </c>
    </row>
    <row r="84" spans="1:9" ht="38.25">
      <c r="A84" t="str">
        <f t="shared" si="1"/>
        <v>Résistance axiale d’une vis côté bois/acier</v>
      </c>
      <c r="D84" t="s">
        <v>415</v>
      </c>
      <c r="E84" t="s">
        <v>549</v>
      </c>
      <c r="F84" s="156" t="s">
        <v>952</v>
      </c>
      <c r="G84" s="156" t="s">
        <v>953</v>
      </c>
      <c r="H84" s="156" t="s">
        <v>954</v>
      </c>
      <c r="I84" s="156" t="s">
        <v>955</v>
      </c>
    </row>
    <row r="85" spans="1:9" ht="25.5">
      <c r="A85" t="str">
        <f t="shared" si="1"/>
        <v xml:space="preserve">Taux de travail effort axial </v>
      </c>
      <c r="D85" t="s">
        <v>171</v>
      </c>
      <c r="E85" t="s">
        <v>550</v>
      </c>
      <c r="F85" s="156" t="s">
        <v>956</v>
      </c>
      <c r="G85" s="156" t="s">
        <v>957</v>
      </c>
      <c r="H85" s="156" t="s">
        <v>958</v>
      </c>
      <c r="I85" s="156" t="s">
        <v>959</v>
      </c>
    </row>
    <row r="86" spans="1:9" ht="25.5">
      <c r="A86" t="str">
        <f t="shared" si="1"/>
        <v>Action tranchante maximale</v>
      </c>
      <c r="D86" t="s">
        <v>134</v>
      </c>
      <c r="E86" t="s">
        <v>551</v>
      </c>
      <c r="F86" s="156" t="s">
        <v>960</v>
      </c>
      <c r="G86" s="156" t="s">
        <v>961</v>
      </c>
      <c r="H86" s="156" t="s">
        <v>962</v>
      </c>
      <c r="I86" s="156" t="s">
        <v>963</v>
      </c>
    </row>
    <row r="87" spans="1:9" ht="38.25">
      <c r="A87" t="str">
        <f t="shared" si="1"/>
        <v xml:space="preserve">Résistance au cisaillement de chaque vis </v>
      </c>
      <c r="D87" t="s">
        <v>223</v>
      </c>
      <c r="E87" t="s">
        <v>552</v>
      </c>
      <c r="F87" s="156" t="s">
        <v>964</v>
      </c>
      <c r="G87" s="156" t="s">
        <v>965</v>
      </c>
      <c r="H87" s="156" t="s">
        <v>966</v>
      </c>
      <c r="I87" s="156" t="s">
        <v>967</v>
      </c>
    </row>
    <row r="88" spans="1:9" ht="25.5">
      <c r="A88" t="str">
        <f t="shared" si="1"/>
        <v xml:space="preserve">Taux de travail effort au cisaillement </v>
      </c>
      <c r="D88" t="s">
        <v>172</v>
      </c>
      <c r="E88" t="s">
        <v>553</v>
      </c>
      <c r="F88" s="156" t="s">
        <v>968</v>
      </c>
      <c r="G88" s="156" t="s">
        <v>969</v>
      </c>
      <c r="H88" s="156" t="s">
        <v>970</v>
      </c>
      <c r="I88" s="156" t="s">
        <v>971</v>
      </c>
    </row>
    <row r="89" spans="1:9" ht="38.25">
      <c r="A89" t="str">
        <f t="shared" si="1"/>
        <v xml:space="preserve">Taux de travail combinaison cisaillement traction </v>
      </c>
      <c r="D89" t="s">
        <v>173</v>
      </c>
      <c r="E89" t="s">
        <v>554</v>
      </c>
      <c r="F89" s="156" t="s">
        <v>972</v>
      </c>
      <c r="G89" s="156" t="s">
        <v>973</v>
      </c>
      <c r="H89" s="156" t="s">
        <v>974</v>
      </c>
      <c r="I89" s="156" t="s">
        <v>975</v>
      </c>
    </row>
    <row r="90" spans="1:9" ht="38.25">
      <c r="A90" t="str">
        <f t="shared" si="1"/>
        <v>Vérification ancrage côté béton</v>
      </c>
      <c r="D90" s="6" t="s">
        <v>98</v>
      </c>
      <c r="E90" s="6" t="s">
        <v>555</v>
      </c>
      <c r="F90" s="195" t="s">
        <v>976</v>
      </c>
      <c r="G90" s="195" t="s">
        <v>977</v>
      </c>
      <c r="H90" s="195" t="s">
        <v>978</v>
      </c>
      <c r="I90" s="195" t="s">
        <v>979</v>
      </c>
    </row>
    <row r="91" spans="1:9">
      <c r="A91" t="str">
        <f t="shared" si="1"/>
        <v>Longueur effective</v>
      </c>
      <c r="D91" t="s">
        <v>103</v>
      </c>
      <c r="E91" t="s">
        <v>556</v>
      </c>
      <c r="F91" s="156" t="s">
        <v>980</v>
      </c>
      <c r="G91" s="156" t="s">
        <v>981</v>
      </c>
      <c r="H91" s="156" t="s">
        <v>982</v>
      </c>
      <c r="I91" s="156" t="s">
        <v>983</v>
      </c>
    </row>
    <row r="92" spans="1:9" ht="25.5">
      <c r="A92" t="str">
        <f t="shared" si="1"/>
        <v>Longueur minimum ancrage</v>
      </c>
      <c r="D92" t="s">
        <v>422</v>
      </c>
      <c r="E92" t="s">
        <v>557</v>
      </c>
      <c r="F92" s="156" t="s">
        <v>984</v>
      </c>
      <c r="G92" s="156" t="s">
        <v>985</v>
      </c>
      <c r="H92" s="156" t="s">
        <v>986</v>
      </c>
      <c r="I92" s="156" t="s">
        <v>987</v>
      </c>
    </row>
    <row r="93" spans="1:9">
      <c r="A93" t="str">
        <f t="shared" si="1"/>
        <v xml:space="preserve">Taux de travail </v>
      </c>
      <c r="D93" t="s">
        <v>140</v>
      </c>
      <c r="E93" t="s">
        <v>558</v>
      </c>
      <c r="F93" s="156" t="s">
        <v>988</v>
      </c>
      <c r="G93" s="156" t="s">
        <v>989</v>
      </c>
      <c r="H93" s="156" t="s">
        <v>990</v>
      </c>
      <c r="I93" s="156" t="s">
        <v>991</v>
      </c>
    </row>
    <row r="94" spans="1:9">
      <c r="A94" t="str">
        <f t="shared" si="1"/>
        <v>Longueur effective</v>
      </c>
      <c r="D94" t="s">
        <v>103</v>
      </c>
      <c r="E94" t="s">
        <v>556</v>
      </c>
      <c r="F94" s="156" t="s">
        <v>980</v>
      </c>
      <c r="G94" s="156" t="s">
        <v>981</v>
      </c>
      <c r="H94" s="156" t="s">
        <v>982</v>
      </c>
      <c r="I94" s="156" t="s">
        <v>983</v>
      </c>
    </row>
    <row r="95" spans="1:9" ht="25.5">
      <c r="A95" t="str">
        <f t="shared" si="1"/>
        <v>Longueur minimum overlap</v>
      </c>
      <c r="D95" t="s">
        <v>423</v>
      </c>
      <c r="E95" t="s">
        <v>559</v>
      </c>
      <c r="F95" s="156" t="s">
        <v>1363</v>
      </c>
      <c r="G95" s="156" t="s">
        <v>992</v>
      </c>
      <c r="H95" s="156" t="s">
        <v>993</v>
      </c>
      <c r="I95" s="156" t="s">
        <v>994</v>
      </c>
    </row>
    <row r="96" spans="1:9">
      <c r="A96" t="str">
        <f t="shared" si="1"/>
        <v>Taux de travail</v>
      </c>
      <c r="D96" t="s">
        <v>145</v>
      </c>
      <c r="E96" t="s">
        <v>558</v>
      </c>
      <c r="F96" s="156" t="s">
        <v>995</v>
      </c>
      <c r="G96" s="156" t="s">
        <v>996</v>
      </c>
      <c r="H96" s="156" t="s">
        <v>997</v>
      </c>
      <c r="I96" s="156" t="s">
        <v>998</v>
      </c>
    </row>
    <row r="97" spans="1:9">
      <c r="A97" t="str">
        <f t="shared" si="1"/>
        <v>Rigidités</v>
      </c>
      <c r="D97" s="6" t="s">
        <v>424</v>
      </c>
      <c r="E97" s="6" t="s">
        <v>560</v>
      </c>
      <c r="F97" s="195" t="s">
        <v>999</v>
      </c>
      <c r="G97" s="195" t="s">
        <v>1000</v>
      </c>
      <c r="H97" s="195" t="s">
        <v>1001</v>
      </c>
      <c r="I97" s="195" t="s">
        <v>1002</v>
      </c>
    </row>
    <row r="98" spans="1:9">
      <c r="A98" t="str">
        <f t="shared" si="1"/>
        <v>Rigidité au cisaillement</v>
      </c>
      <c r="D98" t="s">
        <v>272</v>
      </c>
      <c r="E98" t="s">
        <v>561</v>
      </c>
      <c r="F98" s="156" t="s">
        <v>1003</v>
      </c>
      <c r="G98" s="156" t="s">
        <v>1004</v>
      </c>
      <c r="H98" s="156" t="s">
        <v>1005</v>
      </c>
      <c r="I98" s="156" t="s">
        <v>1006</v>
      </c>
    </row>
    <row r="99" spans="1:9">
      <c r="A99" t="str">
        <f t="shared" si="1"/>
        <v>Rigidité axiale</v>
      </c>
      <c r="D99" t="s">
        <v>271</v>
      </c>
      <c r="E99" t="s">
        <v>562</v>
      </c>
      <c r="F99" s="156" t="s">
        <v>1007</v>
      </c>
      <c r="G99" s="156" t="s">
        <v>1008</v>
      </c>
      <c r="H99" s="156" t="s">
        <v>1009</v>
      </c>
      <c r="I99" s="156" t="s">
        <v>1008</v>
      </c>
    </row>
    <row r="100" spans="1:9">
      <c r="A100" t="str">
        <f t="shared" si="1"/>
        <v>Rigidité en rotation (*)</v>
      </c>
      <c r="D100" t="s">
        <v>653</v>
      </c>
      <c r="E100" t="s">
        <v>654</v>
      </c>
      <c r="F100" s="156" t="s">
        <v>1371</v>
      </c>
      <c r="G100" s="156" t="s">
        <v>1011</v>
      </c>
      <c r="H100" s="156" t="s">
        <v>1012</v>
      </c>
      <c r="I100" s="156" t="s">
        <v>1011</v>
      </c>
    </row>
    <row r="101" spans="1:9" ht="25.5">
      <c r="A101" t="str">
        <f t="shared" si="1"/>
        <v>Calcul axe neutre - Flexion</v>
      </c>
      <c r="D101" s="126" t="s">
        <v>246</v>
      </c>
      <c r="E101" s="126" t="s">
        <v>563</v>
      </c>
      <c r="F101" s="198" t="s">
        <v>1013</v>
      </c>
      <c r="G101" s="198" t="s">
        <v>1014</v>
      </c>
      <c r="H101" s="198" t="s">
        <v>1015</v>
      </c>
      <c r="I101" s="198" t="s">
        <v>1016</v>
      </c>
    </row>
    <row r="102" spans="1:9" ht="25.5">
      <c r="A102" t="str">
        <f t="shared" si="1"/>
        <v xml:space="preserve">Moment fléchissant par rapport aux vis </v>
      </c>
      <c r="D102" t="s">
        <v>407</v>
      </c>
      <c r="E102" t="s">
        <v>564</v>
      </c>
      <c r="F102" s="156" t="s">
        <v>1017</v>
      </c>
      <c r="G102" s="156" t="s">
        <v>1018</v>
      </c>
      <c r="H102" s="156" t="s">
        <v>1019</v>
      </c>
      <c r="I102" s="156" t="s">
        <v>1020</v>
      </c>
    </row>
    <row r="103" spans="1:9">
      <c r="A103" t="str">
        <f t="shared" si="1"/>
        <v xml:space="preserve">Axe neutre </v>
      </c>
      <c r="D103" t="s">
        <v>408</v>
      </c>
      <c r="E103" t="s">
        <v>565</v>
      </c>
      <c r="F103" s="156" t="s">
        <v>1021</v>
      </c>
      <c r="G103" s="156" t="s">
        <v>1022</v>
      </c>
      <c r="H103" s="156" t="s">
        <v>1023</v>
      </c>
      <c r="I103" s="156" t="s">
        <v>1024</v>
      </c>
    </row>
    <row r="104" spans="1:9" ht="25.5">
      <c r="A104" t="str">
        <f t="shared" si="1"/>
        <v xml:space="preserve">Portion comprimée première lame </v>
      </c>
      <c r="D104" t="s">
        <v>409</v>
      </c>
      <c r="E104" t="s">
        <v>566</v>
      </c>
      <c r="F104" s="156" t="s">
        <v>1372</v>
      </c>
      <c r="G104" s="156" t="s">
        <v>1025</v>
      </c>
      <c r="H104" s="156" t="s">
        <v>1026</v>
      </c>
      <c r="I104" s="156" t="s">
        <v>1027</v>
      </c>
    </row>
    <row r="105" spans="1:9" ht="25.5">
      <c r="A105" t="str">
        <f t="shared" si="1"/>
        <v xml:space="preserve">Portion comprimée deuxième lame </v>
      </c>
      <c r="D105" t="s">
        <v>410</v>
      </c>
      <c r="E105" t="s">
        <v>567</v>
      </c>
      <c r="F105" s="156" t="s">
        <v>1373</v>
      </c>
      <c r="G105" s="156" t="s">
        <v>1028</v>
      </c>
      <c r="H105" s="156" t="s">
        <v>1029</v>
      </c>
      <c r="I105" s="156" t="s">
        <v>1030</v>
      </c>
    </row>
    <row r="106" spans="1:9" ht="25.5">
      <c r="A106" t="str">
        <f t="shared" si="1"/>
        <v xml:space="preserve">Portion comprimée troisième lame </v>
      </c>
      <c r="D106" t="s">
        <v>411</v>
      </c>
      <c r="E106" t="s">
        <v>568</v>
      </c>
      <c r="F106" s="156" t="s">
        <v>1374</v>
      </c>
      <c r="G106" s="156" t="s">
        <v>1031</v>
      </c>
      <c r="H106" s="156" t="s">
        <v>1032</v>
      </c>
      <c r="I106" s="156" t="s">
        <v>1033</v>
      </c>
    </row>
    <row r="107" spans="1:9">
      <c r="A107" t="str">
        <f t="shared" si="1"/>
        <v xml:space="preserve">Position résultante </v>
      </c>
      <c r="D107" t="s">
        <v>412</v>
      </c>
      <c r="E107" t="s">
        <v>569</v>
      </c>
      <c r="F107" s="156" t="s">
        <v>1034</v>
      </c>
      <c r="G107" s="156" t="s">
        <v>1035</v>
      </c>
      <c r="H107" s="156" t="s">
        <v>1036</v>
      </c>
      <c r="I107" s="156" t="s">
        <v>1037</v>
      </c>
    </row>
    <row r="108" spans="1:9">
      <c r="A108" t="str">
        <f t="shared" si="1"/>
        <v>Bras de levier</v>
      </c>
      <c r="D108" t="s">
        <v>83</v>
      </c>
      <c r="E108" t="s">
        <v>570</v>
      </c>
      <c r="F108" s="156" t="s">
        <v>1375</v>
      </c>
      <c r="G108" s="156" t="s">
        <v>1038</v>
      </c>
      <c r="H108" s="156" t="s">
        <v>1039</v>
      </c>
      <c r="I108" s="156" t="s">
        <v>1040</v>
      </c>
    </row>
    <row r="109" spans="1:9">
      <c r="A109" t="str">
        <f t="shared" si="1"/>
        <v>Calcul des efforts</v>
      </c>
      <c r="D109" s="126" t="s">
        <v>123</v>
      </c>
      <c r="E109" s="126" t="s">
        <v>571</v>
      </c>
      <c r="F109" s="198" t="s">
        <v>1041</v>
      </c>
      <c r="G109" s="198" t="s">
        <v>1042</v>
      </c>
      <c r="H109" s="198" t="s">
        <v>1043</v>
      </c>
      <c r="I109" s="198" t="s">
        <v>1044</v>
      </c>
    </row>
    <row r="110" spans="1:9" ht="25.5">
      <c r="A110" t="str">
        <f t="shared" si="1"/>
        <v>Action maximale sur toutes les vis</v>
      </c>
      <c r="D110" t="s">
        <v>110</v>
      </c>
      <c r="E110" t="s">
        <v>572</v>
      </c>
      <c r="F110" s="156" t="s">
        <v>1376</v>
      </c>
      <c r="G110" s="156" t="s">
        <v>1045</v>
      </c>
      <c r="H110" s="156" t="s">
        <v>1046</v>
      </c>
      <c r="I110" s="156" t="s">
        <v>1047</v>
      </c>
    </row>
    <row r="111" spans="1:9" ht="25.5">
      <c r="A111" t="str">
        <f t="shared" si="1"/>
        <v>Action maximale sur chaque vis (*)</v>
      </c>
      <c r="D111" t="s">
        <v>374</v>
      </c>
      <c r="E111" t="s">
        <v>573</v>
      </c>
      <c r="F111" s="156" t="s">
        <v>1377</v>
      </c>
      <c r="G111" s="156" t="s">
        <v>1048</v>
      </c>
      <c r="H111" s="156" t="s">
        <v>1049</v>
      </c>
      <c r="I111" s="156" t="s">
        <v>1050</v>
      </c>
    </row>
    <row r="112" spans="1:9" ht="38.25">
      <c r="A112" t="str">
        <f t="shared" si="1"/>
        <v>Action maximale des vis en plan sur chaque vis supérieure</v>
      </c>
      <c r="D112" t="s">
        <v>124</v>
      </c>
      <c r="E112" t="s">
        <v>574</v>
      </c>
      <c r="F112" s="156" t="s">
        <v>1378</v>
      </c>
      <c r="G112" s="156" t="s">
        <v>1051</v>
      </c>
      <c r="H112" s="156" t="s">
        <v>1052</v>
      </c>
      <c r="I112" s="156" t="s">
        <v>1053</v>
      </c>
    </row>
    <row r="113" spans="1:9" ht="38.25">
      <c r="A113" t="str">
        <f t="shared" si="1"/>
        <v>Action maximale des vis en plan sur chaque vis inférieure</v>
      </c>
      <c r="D113" t="s">
        <v>125</v>
      </c>
      <c r="E113" t="s">
        <v>575</v>
      </c>
      <c r="F113" s="156" t="s">
        <v>1379</v>
      </c>
      <c r="G113" s="156" t="s">
        <v>1054</v>
      </c>
      <c r="H113" s="156" t="s">
        <v>1055</v>
      </c>
      <c r="I113" s="156" t="s">
        <v>1056</v>
      </c>
    </row>
    <row r="114" spans="1:9" ht="51">
      <c r="A114" t="str">
        <f t="shared" si="1"/>
        <v>Action maximale des vis hors plan sur chaque vis supérieure</v>
      </c>
      <c r="D114" t="s">
        <v>413</v>
      </c>
      <c r="E114" t="s">
        <v>576</v>
      </c>
      <c r="F114" s="156" t="s">
        <v>1380</v>
      </c>
      <c r="G114" s="156" t="s">
        <v>1057</v>
      </c>
      <c r="H114" s="156" t="s">
        <v>1058</v>
      </c>
      <c r="I114" s="156" t="s">
        <v>1059</v>
      </c>
    </row>
    <row r="115" spans="1:9" ht="51">
      <c r="A115" t="str">
        <f t="shared" si="1"/>
        <v>Action maximale des vis hors plan sur chaque vis inférieure</v>
      </c>
      <c r="D115" t="s">
        <v>414</v>
      </c>
      <c r="E115" t="s">
        <v>577</v>
      </c>
      <c r="F115" s="156" t="s">
        <v>1381</v>
      </c>
      <c r="G115" s="156" t="s">
        <v>1060</v>
      </c>
      <c r="H115" s="156" t="s">
        <v>1061</v>
      </c>
      <c r="I115" s="156" t="s">
        <v>1062</v>
      </c>
    </row>
    <row r="116" spans="1:9" ht="25.5">
      <c r="A116" t="str">
        <f t="shared" si="1"/>
        <v>Action combinée sur chaque vis supérieure</v>
      </c>
      <c r="D116" t="s">
        <v>127</v>
      </c>
      <c r="E116" t="s">
        <v>578</v>
      </c>
      <c r="F116" s="156" t="s">
        <v>1382</v>
      </c>
      <c r="G116" s="156" t="s">
        <v>1063</v>
      </c>
      <c r="H116" s="156" t="s">
        <v>1064</v>
      </c>
      <c r="I116" s="156" t="s">
        <v>1065</v>
      </c>
    </row>
    <row r="117" spans="1:9" ht="38.25">
      <c r="A117" t="str">
        <f t="shared" si="1"/>
        <v>Action combinée sur chaque vis inférieure</v>
      </c>
      <c r="D117" t="s">
        <v>126</v>
      </c>
      <c r="E117" t="s">
        <v>579</v>
      </c>
      <c r="F117" s="156" t="s">
        <v>1383</v>
      </c>
      <c r="G117" s="156" t="s">
        <v>1066</v>
      </c>
      <c r="H117" s="156" t="s">
        <v>1067</v>
      </c>
      <c r="I117" s="156" t="s">
        <v>1068</v>
      </c>
    </row>
    <row r="118" spans="1:9" ht="25.5">
      <c r="A118" t="str">
        <f t="shared" si="1"/>
        <v>Action tranchante maximale</v>
      </c>
      <c r="D118" t="s">
        <v>134</v>
      </c>
      <c r="E118" t="s">
        <v>551</v>
      </c>
      <c r="F118" s="156" t="s">
        <v>960</v>
      </c>
      <c r="G118" s="156" t="s">
        <v>961</v>
      </c>
      <c r="H118" s="156" t="s">
        <v>962</v>
      </c>
      <c r="I118" s="156" t="s">
        <v>963</v>
      </c>
    </row>
    <row r="119" spans="1:9" ht="76.5">
      <c r="A119" t="str">
        <f t="shared" si="1"/>
        <v>(*) nous considérons que la traction est uniquement absorbée par les vis sur la ligne inférieure</v>
      </c>
      <c r="D119" t="s">
        <v>373</v>
      </c>
      <c r="E119" t="s">
        <v>580</v>
      </c>
      <c r="F119" s="156" t="s">
        <v>1384</v>
      </c>
      <c r="G119" s="156" t="s">
        <v>1069</v>
      </c>
      <c r="H119" s="156" t="s">
        <v>1070</v>
      </c>
      <c r="I119" s="156" t="s">
        <v>1071</v>
      </c>
    </row>
    <row r="120" spans="1:9" ht="25.5">
      <c r="A120" t="str">
        <f t="shared" si="1"/>
        <v>Fibres inférieures tendues</v>
      </c>
      <c r="D120" t="s">
        <v>434</v>
      </c>
      <c r="E120" t="s">
        <v>497</v>
      </c>
      <c r="F120" s="156" t="s">
        <v>1357</v>
      </c>
      <c r="G120" s="156" t="s">
        <v>733</v>
      </c>
      <c r="H120" s="156" t="s">
        <v>734</v>
      </c>
      <c r="I120" s="156" t="s">
        <v>735</v>
      </c>
    </row>
    <row r="121" spans="1:9" ht="25.5">
      <c r="A121" t="str">
        <f t="shared" si="1"/>
        <v>Fibres supérieures tendues</v>
      </c>
      <c r="D121" t="s">
        <v>443</v>
      </c>
      <c r="E121" t="s">
        <v>581</v>
      </c>
      <c r="F121" s="156" t="s">
        <v>1385</v>
      </c>
      <c r="G121" s="156" t="s">
        <v>1072</v>
      </c>
      <c r="H121" s="156" t="s">
        <v>1073</v>
      </c>
      <c r="I121" s="156" t="s">
        <v>1074</v>
      </c>
    </row>
    <row r="122" spans="1:9">
      <c r="A122" t="str">
        <f t="shared" si="1"/>
        <v>Vérification</v>
      </c>
      <c r="D122" s="126" t="s">
        <v>442</v>
      </c>
      <c r="E122" s="126" t="s">
        <v>687</v>
      </c>
      <c r="F122" s="198" t="s">
        <v>944</v>
      </c>
      <c r="G122" s="198" t="s">
        <v>945</v>
      </c>
      <c r="H122" s="198" t="s">
        <v>946</v>
      </c>
      <c r="I122" s="198" t="s">
        <v>947</v>
      </c>
    </row>
    <row r="123" spans="1:9" ht="38.25">
      <c r="A123" t="str">
        <f t="shared" si="1"/>
        <v>Résistance axiale d’une vis côté bois/acier</v>
      </c>
      <c r="D123" t="s">
        <v>415</v>
      </c>
      <c r="E123" t="s">
        <v>582</v>
      </c>
      <c r="F123" s="156" t="s">
        <v>952</v>
      </c>
      <c r="G123" s="156" t="s">
        <v>953</v>
      </c>
      <c r="H123" s="156" t="s">
        <v>954</v>
      </c>
      <c r="I123" s="156" t="s">
        <v>955</v>
      </c>
    </row>
    <row r="124" spans="1:9" ht="38.25">
      <c r="A124" t="str">
        <f t="shared" si="1"/>
        <v xml:space="preserve">Résistance au cisaillement de chaque vis </v>
      </c>
      <c r="D124" t="s">
        <v>223</v>
      </c>
      <c r="E124" t="s">
        <v>583</v>
      </c>
      <c r="F124" s="156" t="s">
        <v>964</v>
      </c>
      <c r="G124" s="156" t="s">
        <v>965</v>
      </c>
      <c r="H124" s="156" t="s">
        <v>966</v>
      </c>
      <c r="I124" s="156" t="s">
        <v>967</v>
      </c>
    </row>
    <row r="125" spans="1:9" ht="25.5">
      <c r="A125" t="str">
        <f t="shared" si="1"/>
        <v xml:space="preserve">Taux de travail effort axial </v>
      </c>
      <c r="D125" t="s">
        <v>171</v>
      </c>
      <c r="E125" t="s">
        <v>550</v>
      </c>
      <c r="F125" s="156" t="s">
        <v>956</v>
      </c>
      <c r="G125" s="156" t="s">
        <v>957</v>
      </c>
      <c r="H125" s="156" t="s">
        <v>958</v>
      </c>
      <c r="I125" s="156" t="s">
        <v>959</v>
      </c>
    </row>
    <row r="126" spans="1:9" ht="25.5">
      <c r="A126" t="str">
        <f t="shared" si="1"/>
        <v xml:space="preserve">Taux de travail effort au cisaillement </v>
      </c>
      <c r="D126" t="s">
        <v>172</v>
      </c>
      <c r="E126" t="s">
        <v>553</v>
      </c>
      <c r="F126" s="156" t="s">
        <v>968</v>
      </c>
      <c r="G126" s="156" t="s">
        <v>969</v>
      </c>
      <c r="H126" s="156" t="s">
        <v>970</v>
      </c>
      <c r="I126" s="156" t="s">
        <v>971</v>
      </c>
    </row>
    <row r="127" spans="1:9" ht="38.25">
      <c r="A127" t="str">
        <f t="shared" si="1"/>
        <v xml:space="preserve">Taux de travail combinaison cisaillement traction </v>
      </c>
      <c r="D127" t="s">
        <v>173</v>
      </c>
      <c r="E127" t="s">
        <v>554</v>
      </c>
      <c r="F127" s="156" t="s">
        <v>972</v>
      </c>
      <c r="G127" s="156" t="s">
        <v>973</v>
      </c>
      <c r="H127" s="156" t="s">
        <v>974</v>
      </c>
      <c r="I127" s="156" t="s">
        <v>975</v>
      </c>
    </row>
    <row r="128" spans="1:9" ht="38.25">
      <c r="A128" t="str">
        <f t="shared" si="1"/>
        <v>Vérification ancrage côté béton</v>
      </c>
      <c r="D128" s="126" t="s">
        <v>98</v>
      </c>
      <c r="E128" s="126" t="s">
        <v>555</v>
      </c>
      <c r="F128" s="198" t="s">
        <v>976</v>
      </c>
      <c r="G128" s="198" t="s">
        <v>977</v>
      </c>
      <c r="H128" s="198" t="s">
        <v>978</v>
      </c>
      <c r="I128" s="198" t="s">
        <v>979</v>
      </c>
    </row>
    <row r="129" spans="1:9" ht="25.5">
      <c r="A129" t="str">
        <f t="shared" si="1"/>
        <v>Longueur ancrage requise</v>
      </c>
      <c r="D129" t="s">
        <v>135</v>
      </c>
      <c r="E129" t="s">
        <v>584</v>
      </c>
      <c r="F129" s="156" t="s">
        <v>1075</v>
      </c>
      <c r="G129" s="156" t="s">
        <v>1076</v>
      </c>
      <c r="H129" s="156" t="s">
        <v>1077</v>
      </c>
      <c r="I129" s="156" t="s">
        <v>1078</v>
      </c>
    </row>
    <row r="130" spans="1:9" ht="25.5">
      <c r="A130" t="str">
        <f t="shared" si="1"/>
        <v>Longueur ancrage minimum</v>
      </c>
      <c r="D130" t="s">
        <v>137</v>
      </c>
      <c r="E130" t="s">
        <v>557</v>
      </c>
      <c r="F130" s="156" t="s">
        <v>984</v>
      </c>
      <c r="G130" s="156" t="s">
        <v>1079</v>
      </c>
      <c r="H130" s="156" t="s">
        <v>1080</v>
      </c>
      <c r="I130" s="156" t="s">
        <v>987</v>
      </c>
    </row>
    <row r="131" spans="1:9">
      <c r="A131" t="str">
        <f t="shared" si="1"/>
        <v>Longueur effective</v>
      </c>
      <c r="D131" t="s">
        <v>103</v>
      </c>
      <c r="E131" t="s">
        <v>556</v>
      </c>
      <c r="F131" s="156" t="s">
        <v>980</v>
      </c>
      <c r="G131" s="156" t="s">
        <v>981</v>
      </c>
      <c r="H131" s="156" t="s">
        <v>982</v>
      </c>
      <c r="I131" s="156" t="s">
        <v>983</v>
      </c>
    </row>
    <row r="132" spans="1:9" ht="25.5">
      <c r="A132" t="str">
        <f t="shared" ref="A132:A186" si="2">IF($B$1=$D$1,D132,IF($B$1=$E$1,E132,IF($B$1=$F$1,F132,IF($B$1=$G$1,G132,IF($B$1=$H$1,H132,IF($B$1=$I$1,I132,"ERROR"))))))</f>
        <v>Longueur d’ancrage</v>
      </c>
      <c r="D132" t="s">
        <v>340</v>
      </c>
      <c r="E132" t="s">
        <v>539</v>
      </c>
      <c r="F132" s="156" t="s">
        <v>911</v>
      </c>
      <c r="G132" s="156" t="s">
        <v>1081</v>
      </c>
      <c r="H132" s="156" t="s">
        <v>913</v>
      </c>
      <c r="I132" s="156" t="s">
        <v>914</v>
      </c>
    </row>
    <row r="133" spans="1:9">
      <c r="A133" t="str">
        <f t="shared" si="2"/>
        <v xml:space="preserve">Taux de travail </v>
      </c>
      <c r="D133" t="s">
        <v>140</v>
      </c>
      <c r="E133" t="s">
        <v>558</v>
      </c>
      <c r="F133" s="156" t="s">
        <v>988</v>
      </c>
      <c r="G133" s="156" t="s">
        <v>989</v>
      </c>
      <c r="H133" s="156" t="s">
        <v>990</v>
      </c>
      <c r="I133" s="156" t="s">
        <v>991</v>
      </c>
    </row>
    <row r="134" spans="1:9">
      <c r="A134" t="str">
        <f t="shared" si="2"/>
        <v xml:space="preserve">Longueur overlap </v>
      </c>
      <c r="D134" t="s">
        <v>142</v>
      </c>
      <c r="E134" t="s">
        <v>585</v>
      </c>
      <c r="F134" s="156" t="s">
        <v>907</v>
      </c>
      <c r="G134" s="156" t="s">
        <v>1082</v>
      </c>
      <c r="H134" s="156" t="s">
        <v>1083</v>
      </c>
      <c r="I134" s="156" t="s">
        <v>1084</v>
      </c>
    </row>
    <row r="135" spans="1:9" ht="25.5">
      <c r="A135" t="str">
        <f t="shared" si="2"/>
        <v>Longueur minimum overlap</v>
      </c>
      <c r="D135" t="s">
        <v>423</v>
      </c>
      <c r="E135" t="s">
        <v>559</v>
      </c>
      <c r="F135" s="156" t="s">
        <v>1386</v>
      </c>
      <c r="G135" s="156" t="s">
        <v>992</v>
      </c>
      <c r="H135" s="156" t="s">
        <v>993</v>
      </c>
      <c r="I135" s="156" t="s">
        <v>994</v>
      </c>
    </row>
    <row r="136" spans="1:9">
      <c r="A136" t="str">
        <f t="shared" si="2"/>
        <v>Longueur effective</v>
      </c>
      <c r="D136" t="s">
        <v>103</v>
      </c>
      <c r="E136" t="s">
        <v>556</v>
      </c>
      <c r="F136" s="156" t="s">
        <v>980</v>
      </c>
      <c r="G136" s="156" t="s">
        <v>981</v>
      </c>
      <c r="H136" s="156" t="s">
        <v>982</v>
      </c>
      <c r="I136" s="156" t="s">
        <v>983</v>
      </c>
    </row>
    <row r="137" spans="1:9">
      <c r="A137" t="str">
        <f t="shared" si="2"/>
        <v>Taux de travail</v>
      </c>
      <c r="D137" t="s">
        <v>145</v>
      </c>
      <c r="E137" t="s">
        <v>558</v>
      </c>
      <c r="F137" s="156" t="s">
        <v>995</v>
      </c>
      <c r="G137" s="156" t="s">
        <v>996</v>
      </c>
      <c r="H137" s="156" t="s">
        <v>997</v>
      </c>
      <c r="I137" s="156" t="s">
        <v>998</v>
      </c>
    </row>
    <row r="138" spans="1:9" ht="25.5">
      <c r="A138" t="str">
        <f t="shared" si="2"/>
        <v>Rigidité cisaillement/flexion</v>
      </c>
      <c r="D138" s="126" t="s">
        <v>286</v>
      </c>
      <c r="E138" s="126" t="s">
        <v>586</v>
      </c>
      <c r="F138" s="198" t="s">
        <v>1085</v>
      </c>
      <c r="G138" s="198" t="s">
        <v>1086</v>
      </c>
      <c r="H138" s="198" t="s">
        <v>1087</v>
      </c>
      <c r="I138" s="198" t="s">
        <v>1088</v>
      </c>
    </row>
    <row r="139" spans="1:9">
      <c r="A139" t="str">
        <f t="shared" si="2"/>
        <v>Rigidité au cisaillement</v>
      </c>
      <c r="D139" t="s">
        <v>272</v>
      </c>
      <c r="E139" t="s">
        <v>561</v>
      </c>
      <c r="F139" s="156" t="s">
        <v>1003</v>
      </c>
      <c r="G139" s="156" t="s">
        <v>1004</v>
      </c>
      <c r="H139" s="156" t="s">
        <v>1005</v>
      </c>
      <c r="I139" s="156" t="s">
        <v>1006</v>
      </c>
    </row>
    <row r="140" spans="1:9">
      <c r="A140" t="str">
        <f t="shared" si="2"/>
        <v>première couche</v>
      </c>
      <c r="D140" t="s">
        <v>444</v>
      </c>
      <c r="E140" t="s">
        <v>288</v>
      </c>
      <c r="F140" s="156" t="s">
        <v>1089</v>
      </c>
      <c r="G140" s="156" t="s">
        <v>1090</v>
      </c>
      <c r="H140" s="156" t="s">
        <v>1091</v>
      </c>
      <c r="I140" s="156" t="s">
        <v>1092</v>
      </c>
    </row>
    <row r="141" spans="1:9">
      <c r="A141" t="str">
        <f t="shared" si="2"/>
        <v>25 % épaisseur</v>
      </c>
      <c r="D141" t="s">
        <v>445</v>
      </c>
      <c r="E141" t="s">
        <v>587</v>
      </c>
      <c r="F141" s="156" t="s">
        <v>1093</v>
      </c>
      <c r="G141" s="156" t="s">
        <v>1094</v>
      </c>
      <c r="H141" s="156" t="s">
        <v>1095</v>
      </c>
      <c r="I141" s="156" t="s">
        <v>1096</v>
      </c>
    </row>
    <row r="142" spans="1:9">
      <c r="A142" t="str">
        <f t="shared" si="2"/>
        <v>a_t(25 %)</v>
      </c>
      <c r="D142" t="s">
        <v>289</v>
      </c>
      <c r="E142" t="s">
        <v>289</v>
      </c>
      <c r="F142" s="156" t="s">
        <v>289</v>
      </c>
      <c r="G142" s="156" t="s">
        <v>289</v>
      </c>
      <c r="H142" s="156" t="s">
        <v>1097</v>
      </c>
      <c r="I142" s="156" t="s">
        <v>289</v>
      </c>
    </row>
    <row r="143" spans="1:9" ht="51">
      <c r="A143" t="str">
        <f t="shared" si="2"/>
        <v>Longueur comprimée calcul pour rigidité</v>
      </c>
      <c r="D143" t="s">
        <v>257</v>
      </c>
      <c r="E143" t="s">
        <v>588</v>
      </c>
      <c r="F143" s="156" t="s">
        <v>1387</v>
      </c>
      <c r="G143" s="156" t="s">
        <v>1098</v>
      </c>
      <c r="H143" s="156" t="s">
        <v>1099</v>
      </c>
      <c r="I143" s="156" t="s">
        <v>1100</v>
      </c>
    </row>
    <row r="144" spans="1:9">
      <c r="A144" t="str">
        <f t="shared" si="2"/>
        <v>Bras de levier</v>
      </c>
      <c r="D144" t="s">
        <v>83</v>
      </c>
      <c r="E144" t="s">
        <v>570</v>
      </c>
      <c r="F144" s="156" t="s">
        <v>1375</v>
      </c>
      <c r="G144" s="156" t="s">
        <v>1038</v>
      </c>
      <c r="H144" s="156" t="s">
        <v>1039</v>
      </c>
      <c r="I144" s="156" t="s">
        <v>1040</v>
      </c>
    </row>
    <row r="145" spans="1:9">
      <c r="A145" t="str">
        <f t="shared" si="2"/>
        <v>Moment de référence</v>
      </c>
      <c r="D145" t="s">
        <v>262</v>
      </c>
      <c r="E145" t="s">
        <v>589</v>
      </c>
      <c r="F145" s="156" t="s">
        <v>1101</v>
      </c>
      <c r="G145" s="156" t="s">
        <v>1102</v>
      </c>
      <c r="H145" s="156" t="s">
        <v>1103</v>
      </c>
      <c r="I145" s="156" t="s">
        <v>1104</v>
      </c>
    </row>
    <row r="146" spans="1:9" ht="25.5">
      <c r="A146" t="str">
        <f t="shared" si="2"/>
        <v>Force sur vis de référence</v>
      </c>
      <c r="D146" t="s">
        <v>416</v>
      </c>
      <c r="E146" t="s">
        <v>590</v>
      </c>
      <c r="F146" s="156" t="s">
        <v>1105</v>
      </c>
      <c r="G146" s="156" t="s">
        <v>1106</v>
      </c>
      <c r="H146" s="156" t="s">
        <v>1107</v>
      </c>
      <c r="I146" s="156" t="s">
        <v>1108</v>
      </c>
    </row>
    <row r="147" spans="1:9">
      <c r="A147" t="str">
        <f t="shared" si="2"/>
        <v>Largeur de référence</v>
      </c>
      <c r="D147" t="s">
        <v>269</v>
      </c>
      <c r="E147" t="s">
        <v>591</v>
      </c>
      <c r="F147" s="156" t="s">
        <v>1109</v>
      </c>
      <c r="G147" s="156" t="s">
        <v>1110</v>
      </c>
      <c r="H147" s="156" t="s">
        <v>1111</v>
      </c>
      <c r="I147" s="156" t="s">
        <v>1112</v>
      </c>
    </row>
    <row r="148" spans="1:9">
      <c r="A148" t="str">
        <f t="shared" si="2"/>
        <v xml:space="preserve">Rigidité à la compression </v>
      </c>
      <c r="D148" t="s">
        <v>264</v>
      </c>
      <c r="E148" t="s">
        <v>592</v>
      </c>
      <c r="F148" s="156" t="s">
        <v>1113</v>
      </c>
      <c r="G148" s="156" t="s">
        <v>1114</v>
      </c>
      <c r="H148" s="156" t="s">
        <v>1115</v>
      </c>
      <c r="I148" s="156" t="s">
        <v>1116</v>
      </c>
    </row>
    <row r="149" spans="1:9">
      <c r="A149" t="str">
        <f t="shared" si="2"/>
        <v>Rigidité axiale</v>
      </c>
      <c r="D149" t="s">
        <v>271</v>
      </c>
      <c r="E149" t="s">
        <v>562</v>
      </c>
      <c r="F149" s="156" t="s">
        <v>1007</v>
      </c>
      <c r="G149" s="156" t="s">
        <v>1008</v>
      </c>
      <c r="H149" s="156" t="s">
        <v>1009</v>
      </c>
      <c r="I149" s="156" t="s">
        <v>1008</v>
      </c>
    </row>
    <row r="150" spans="1:9" ht="25.5">
      <c r="A150" t="str">
        <f t="shared" si="2"/>
        <v>Vis en zone tendue</v>
      </c>
      <c r="D150" t="s">
        <v>282</v>
      </c>
      <c r="E150" t="s">
        <v>593</v>
      </c>
      <c r="F150" s="156" t="s">
        <v>1388</v>
      </c>
      <c r="G150" s="156" t="s">
        <v>1117</v>
      </c>
      <c r="H150" s="156" t="s">
        <v>1118</v>
      </c>
      <c r="I150" s="156" t="s">
        <v>1119</v>
      </c>
    </row>
    <row r="151" spans="1:9" ht="25.5">
      <c r="A151" t="str">
        <f t="shared" si="2"/>
        <v>Déformation de la zone comprimée</v>
      </c>
      <c r="D151" t="s">
        <v>417</v>
      </c>
      <c r="E151" t="s">
        <v>594</v>
      </c>
      <c r="F151" s="156" t="s">
        <v>1389</v>
      </c>
      <c r="G151" s="156" t="s">
        <v>1120</v>
      </c>
      <c r="H151" s="156" t="s">
        <v>1121</v>
      </c>
      <c r="I151" s="156" t="s">
        <v>1122</v>
      </c>
    </row>
    <row r="152" spans="1:9" ht="25.5">
      <c r="A152" t="str">
        <f t="shared" si="2"/>
        <v>Déformation des fixations</v>
      </c>
      <c r="D152" t="s">
        <v>418</v>
      </c>
      <c r="E152" t="s">
        <v>595</v>
      </c>
      <c r="F152" s="156" t="s">
        <v>1123</v>
      </c>
      <c r="G152" s="156" t="s">
        <v>1124</v>
      </c>
      <c r="H152" s="156" t="s">
        <v>1125</v>
      </c>
      <c r="I152" s="156" t="s">
        <v>1126</v>
      </c>
    </row>
    <row r="153" spans="1:9" ht="25.5">
      <c r="A153" t="str">
        <f t="shared" si="2"/>
        <v>Angle de rotation unitaire</v>
      </c>
      <c r="D153" t="s">
        <v>284</v>
      </c>
      <c r="E153" t="s">
        <v>596</v>
      </c>
      <c r="F153" s="156" t="s">
        <v>1127</v>
      </c>
      <c r="G153" s="156" t="s">
        <v>1128</v>
      </c>
      <c r="H153" s="156" t="s">
        <v>1129</v>
      </c>
      <c r="I153" s="156" t="s">
        <v>1130</v>
      </c>
    </row>
    <row r="154" spans="1:9">
      <c r="A154" t="str">
        <f t="shared" si="2"/>
        <v>Rigidité en rotation (*)</v>
      </c>
      <c r="D154" t="s">
        <v>653</v>
      </c>
      <c r="E154" t="s">
        <v>654</v>
      </c>
      <c r="F154" s="156" t="s">
        <v>1010</v>
      </c>
      <c r="G154" s="156" t="s">
        <v>1011</v>
      </c>
      <c r="H154" s="156" t="s">
        <v>1012</v>
      </c>
      <c r="I154" s="156" t="s">
        <v>1011</v>
      </c>
    </row>
    <row r="155" spans="1:9">
      <c r="A155" t="str">
        <f t="shared" si="2"/>
        <v>cases éditables</v>
      </c>
      <c r="D155" s="152" t="s">
        <v>394</v>
      </c>
      <c r="E155" s="152" t="s">
        <v>597</v>
      </c>
      <c r="F155" s="199" t="s">
        <v>1131</v>
      </c>
      <c r="G155" s="199" t="s">
        <v>1132</v>
      </c>
      <c r="H155" s="199" t="s">
        <v>1133</v>
      </c>
      <c r="I155" s="199" t="s">
        <v>1134</v>
      </c>
    </row>
    <row r="156" spans="1:9" ht="38.25">
      <c r="A156" t="str">
        <f t="shared" si="2"/>
        <v>Distance de la ligne de vis basses depuis le bord CLT</v>
      </c>
      <c r="D156" t="s">
        <v>446</v>
      </c>
      <c r="E156" t="s">
        <v>598</v>
      </c>
      <c r="F156" s="156" t="s">
        <v>1390</v>
      </c>
      <c r="G156" s="156" t="s">
        <v>1135</v>
      </c>
      <c r="H156" s="156" t="s">
        <v>1136</v>
      </c>
      <c r="I156" s="156" t="s">
        <v>1137</v>
      </c>
    </row>
    <row r="157" spans="1:9">
      <c r="A157" t="str">
        <f t="shared" si="2"/>
        <v>Lame</v>
      </c>
      <c r="D157" t="s">
        <v>377</v>
      </c>
      <c r="E157" t="s">
        <v>599</v>
      </c>
      <c r="F157" s="156" t="s">
        <v>1391</v>
      </c>
      <c r="G157" s="156" t="s">
        <v>1138</v>
      </c>
      <c r="H157" s="156" t="s">
        <v>1139</v>
      </c>
      <c r="I157" s="156" t="s">
        <v>1140</v>
      </c>
    </row>
    <row r="158" spans="1:9" ht="25.5">
      <c r="A158" t="str">
        <f t="shared" si="2"/>
        <v>Position barre longitudinale</v>
      </c>
      <c r="D158" t="s">
        <v>378</v>
      </c>
      <c r="E158" t="s">
        <v>600</v>
      </c>
      <c r="F158" s="156" t="s">
        <v>1141</v>
      </c>
      <c r="G158" s="156" t="s">
        <v>1142</v>
      </c>
      <c r="H158" s="156" t="s">
        <v>1143</v>
      </c>
      <c r="I158" s="156" t="s">
        <v>1144</v>
      </c>
    </row>
    <row r="159" spans="1:9" ht="25.5">
      <c r="A159" t="str">
        <f t="shared" si="2"/>
        <v>Barre longitudinale (1/2 dia.)</v>
      </c>
      <c r="D159" t="s">
        <v>379</v>
      </c>
      <c r="E159" t="s">
        <v>601</v>
      </c>
      <c r="F159" s="156" t="s">
        <v>1145</v>
      </c>
      <c r="G159" s="156" t="s">
        <v>1146</v>
      </c>
      <c r="H159" s="156" t="s">
        <v>1147</v>
      </c>
      <c r="I159" s="156" t="s">
        <v>1148</v>
      </c>
    </row>
    <row r="160" spans="1:9" ht="25.5">
      <c r="A160" t="str">
        <f t="shared" si="2"/>
        <v>Tolérance sur courbure des étriers</v>
      </c>
      <c r="D160" s="166" t="s">
        <v>375</v>
      </c>
      <c r="E160" s="166" t="s">
        <v>646</v>
      </c>
      <c r="F160" s="196" t="s">
        <v>1149</v>
      </c>
      <c r="G160" s="196" t="s">
        <v>1150</v>
      </c>
      <c r="H160" s="196" t="s">
        <v>1151</v>
      </c>
      <c r="I160" s="196" t="s">
        <v>1152</v>
      </c>
    </row>
    <row r="161" spans="1:9" ht="25.5">
      <c r="A161" t="str">
        <f t="shared" si="2"/>
        <v>Vis (1/2 dia.)</v>
      </c>
      <c r="D161" t="s">
        <v>380</v>
      </c>
      <c r="E161" t="s">
        <v>602</v>
      </c>
      <c r="F161" s="156" t="s">
        <v>1153</v>
      </c>
      <c r="G161" s="156" t="s">
        <v>1154</v>
      </c>
      <c r="H161" s="156" t="s">
        <v>1155</v>
      </c>
      <c r="I161" s="156" t="s">
        <v>1156</v>
      </c>
    </row>
    <row r="162" spans="1:9">
      <c r="A162" t="str">
        <f t="shared" si="2"/>
        <v>cases éditables</v>
      </c>
      <c r="D162" s="152" t="s">
        <v>394</v>
      </c>
      <c r="E162" s="152" t="s">
        <v>597</v>
      </c>
      <c r="F162" s="199" t="s">
        <v>1131</v>
      </c>
      <c r="G162" s="199" t="s">
        <v>1132</v>
      </c>
      <c r="H162" s="199" t="s">
        <v>1133</v>
      </c>
      <c r="I162" s="199" t="s">
        <v>1134</v>
      </c>
    </row>
    <row r="163" spans="1:9" ht="25.5">
      <c r="A163" t="str">
        <f t="shared" si="2"/>
        <v>Enrobage minimum requis [mm]</v>
      </c>
      <c r="D163" t="s">
        <v>381</v>
      </c>
      <c r="E163" t="s">
        <v>603</v>
      </c>
      <c r="F163" s="156" t="s">
        <v>1157</v>
      </c>
      <c r="G163" s="156" t="s">
        <v>1158</v>
      </c>
      <c r="H163" s="156" t="s">
        <v>1159</v>
      </c>
      <c r="I163" s="156" t="s">
        <v>1160</v>
      </c>
    </row>
    <row r="164" spans="1:9" ht="25.5">
      <c r="A164" t="str">
        <f t="shared" si="2"/>
        <v>Classe d’exposition environnementale</v>
      </c>
      <c r="D164" t="s">
        <v>384</v>
      </c>
      <c r="E164" t="s">
        <v>526</v>
      </c>
      <c r="F164" s="156" t="s">
        <v>865</v>
      </c>
      <c r="G164" s="156" t="s">
        <v>866</v>
      </c>
      <c r="H164" s="156" t="s">
        <v>867</v>
      </c>
      <c r="I164" s="156" t="s">
        <v>868</v>
      </c>
    </row>
    <row r="165" spans="1:9">
      <c r="A165" t="str">
        <f t="shared" si="2"/>
        <v>Classe structurelle</v>
      </c>
      <c r="D165" t="s">
        <v>48</v>
      </c>
      <c r="E165" t="s">
        <v>604</v>
      </c>
      <c r="F165" s="156" t="s">
        <v>1161</v>
      </c>
      <c r="G165" s="156" t="s">
        <v>1162</v>
      </c>
      <c r="H165" s="156" t="s">
        <v>1163</v>
      </c>
      <c r="I165" s="156" t="s">
        <v>1164</v>
      </c>
    </row>
    <row r="166" spans="1:9" ht="25.5">
      <c r="A166" t="str">
        <f t="shared" si="2"/>
        <v>Enrobage minimum pour les étriers</v>
      </c>
      <c r="D166" t="s">
        <v>390</v>
      </c>
      <c r="E166" t="s">
        <v>645</v>
      </c>
      <c r="F166" s="156" t="s">
        <v>1165</v>
      </c>
      <c r="G166" s="156" t="s">
        <v>1166</v>
      </c>
      <c r="H166" s="156" t="s">
        <v>1167</v>
      </c>
      <c r="I166" s="156" t="s">
        <v>872</v>
      </c>
    </row>
    <row r="167" spans="1:9" ht="38.25">
      <c r="A167" t="str">
        <f t="shared" si="2"/>
        <v>Enrobage minimum pour les barres longitudinales</v>
      </c>
      <c r="D167" t="s">
        <v>391</v>
      </c>
      <c r="E167" t="s">
        <v>527</v>
      </c>
      <c r="F167" s="156" t="s">
        <v>1168</v>
      </c>
      <c r="G167" s="156" t="s">
        <v>1169</v>
      </c>
      <c r="H167" s="156" t="s">
        <v>1170</v>
      </c>
      <c r="I167" s="156" t="s">
        <v>875</v>
      </c>
    </row>
    <row r="168" spans="1:9" ht="38.25">
      <c r="A168" t="str">
        <f t="shared" si="2"/>
        <v>Distance par rapport à l’axe des barres longitudinales</v>
      </c>
      <c r="D168" t="s">
        <v>392</v>
      </c>
      <c r="E168" t="s">
        <v>605</v>
      </c>
      <c r="F168" s="156" t="s">
        <v>1171</v>
      </c>
      <c r="G168" s="156" t="s">
        <v>1172</v>
      </c>
      <c r="H168" s="156" t="s">
        <v>1173</v>
      </c>
      <c r="I168" s="156" t="s">
        <v>1174</v>
      </c>
    </row>
    <row r="169" spans="1:9">
      <c r="A169" t="str">
        <f t="shared" si="2"/>
        <v>cases éditables</v>
      </c>
      <c r="D169" s="152" t="s">
        <v>394</v>
      </c>
      <c r="E169" s="152" t="s">
        <v>597</v>
      </c>
      <c r="F169" s="199" t="s">
        <v>1131</v>
      </c>
      <c r="G169" s="199" t="s">
        <v>1132</v>
      </c>
      <c r="H169" s="199" t="s">
        <v>1133</v>
      </c>
      <c r="I169" s="199" t="s">
        <v>1134</v>
      </c>
    </row>
    <row r="170" spans="1:9">
      <c r="A170" t="str">
        <f t="shared" si="2"/>
        <v>Panneaux</v>
      </c>
      <c r="D170" t="s">
        <v>3</v>
      </c>
      <c r="E170" t="s">
        <v>606</v>
      </c>
      <c r="F170" s="156" t="s">
        <v>1175</v>
      </c>
      <c r="G170" s="156" t="s">
        <v>1176</v>
      </c>
      <c r="H170" s="156" t="s">
        <v>1177</v>
      </c>
      <c r="I170" s="156" t="s">
        <v>1178</v>
      </c>
    </row>
    <row r="171" spans="1:9">
      <c r="A171" t="str">
        <f t="shared" si="2"/>
        <v>cases éditables</v>
      </c>
      <c r="D171" s="152" t="s">
        <v>394</v>
      </c>
      <c r="E171" s="152" t="s">
        <v>597</v>
      </c>
      <c r="F171" s="199" t="s">
        <v>1131</v>
      </c>
      <c r="G171" s="199" t="s">
        <v>1132</v>
      </c>
      <c r="H171" s="199" t="s">
        <v>1133</v>
      </c>
      <c r="I171" s="199" t="s">
        <v>1134</v>
      </c>
    </row>
    <row r="172" spans="1:9">
      <c r="A172" t="str">
        <f t="shared" si="2"/>
        <v>coeff. connexion bois</v>
      </c>
      <c r="D172" t="s">
        <v>397</v>
      </c>
      <c r="E172" t="s">
        <v>607</v>
      </c>
      <c r="F172" s="156" t="s">
        <v>1179</v>
      </c>
      <c r="G172" s="156" t="s">
        <v>1180</v>
      </c>
      <c r="H172" s="156" t="s">
        <v>1181</v>
      </c>
      <c r="I172" s="156" t="s">
        <v>1182</v>
      </c>
    </row>
    <row r="173" spans="1:9">
      <c r="A173" t="str">
        <f t="shared" si="2"/>
        <v>coeff. matériau acier</v>
      </c>
      <c r="D173" t="s">
        <v>395</v>
      </c>
      <c r="E173" t="s">
        <v>608</v>
      </c>
      <c r="F173" s="156" t="s">
        <v>1183</v>
      </c>
      <c r="G173" s="156" t="s">
        <v>1184</v>
      </c>
      <c r="H173" s="156" t="s">
        <v>1185</v>
      </c>
      <c r="I173" s="156" t="s">
        <v>1186</v>
      </c>
    </row>
    <row r="174" spans="1:9">
      <c r="A174" t="str">
        <f t="shared" si="2"/>
        <v>coeff. matériau béton</v>
      </c>
      <c r="D174" t="s">
        <v>396</v>
      </c>
      <c r="E174" t="s">
        <v>609</v>
      </c>
      <c r="F174" s="156" t="s">
        <v>1187</v>
      </c>
      <c r="G174" s="156" t="s">
        <v>1188</v>
      </c>
      <c r="H174" s="156" t="s">
        <v>1189</v>
      </c>
      <c r="I174" s="156" t="s">
        <v>1190</v>
      </c>
    </row>
    <row r="175" spans="1:9" ht="25.5">
      <c r="A175" t="str">
        <f t="shared" si="2"/>
        <v>Résistance axiale - Béton</v>
      </c>
      <c r="D175" t="s">
        <v>447</v>
      </c>
      <c r="E175" t="s">
        <v>610</v>
      </c>
      <c r="F175" s="156" t="s">
        <v>1191</v>
      </c>
      <c r="G175" s="156" t="s">
        <v>1192</v>
      </c>
      <c r="H175" s="156" t="s">
        <v>1193</v>
      </c>
      <c r="I175" s="156" t="s">
        <v>1194</v>
      </c>
    </row>
    <row r="176" spans="1:9" ht="25.5">
      <c r="A176" t="str">
        <f t="shared" si="2"/>
        <v>Résistance axiale - Bois</v>
      </c>
      <c r="D176" t="s">
        <v>448</v>
      </c>
      <c r="E176" t="s">
        <v>611</v>
      </c>
      <c r="F176" s="156" t="s">
        <v>1195</v>
      </c>
      <c r="G176" s="156" t="s">
        <v>1196</v>
      </c>
      <c r="H176" s="156" t="s">
        <v>1197</v>
      </c>
      <c r="I176" s="156" t="s">
        <v>1198</v>
      </c>
    </row>
    <row r="177" spans="1:9" ht="25.5">
      <c r="A177" t="str">
        <f t="shared" si="2"/>
        <v>Résistance au cisaillement - Bois</v>
      </c>
      <c r="D177" t="s">
        <v>449</v>
      </c>
      <c r="E177" t="s">
        <v>612</v>
      </c>
      <c r="F177" s="156" t="s">
        <v>1199</v>
      </c>
      <c r="G177" s="156" t="s">
        <v>1200</v>
      </c>
      <c r="H177" s="156" t="s">
        <v>1201</v>
      </c>
      <c r="I177" s="156" t="s">
        <v>1202</v>
      </c>
    </row>
    <row r="178" spans="1:9" ht="25.5">
      <c r="A178" t="str">
        <f t="shared" si="2"/>
        <v>Résistance au cisaillement - Acier</v>
      </c>
      <c r="D178" t="s">
        <v>450</v>
      </c>
      <c r="E178" t="s">
        <v>613</v>
      </c>
      <c r="F178" s="156" t="s">
        <v>1203</v>
      </c>
      <c r="G178" s="156" t="s">
        <v>1204</v>
      </c>
      <c r="H178" s="156" t="s">
        <v>1205</v>
      </c>
      <c r="I178" s="156" t="s">
        <v>1206</v>
      </c>
    </row>
    <row r="179" spans="1:9" ht="25.5">
      <c r="A179" t="str">
        <f t="shared" si="2"/>
        <v>Rigidité latérale pour chaque vis</v>
      </c>
      <c r="D179" t="s">
        <v>451</v>
      </c>
      <c r="E179" t="s">
        <v>614</v>
      </c>
      <c r="F179" s="156" t="s">
        <v>1207</v>
      </c>
      <c r="G179" s="156" t="s">
        <v>1208</v>
      </c>
      <c r="H179" s="156" t="s">
        <v>1209</v>
      </c>
      <c r="I179" s="156" t="s">
        <v>1210</v>
      </c>
    </row>
    <row r="180" spans="1:9">
      <c r="A180" t="str">
        <f t="shared" si="2"/>
        <v>NOTES</v>
      </c>
      <c r="D180" s="153" t="s">
        <v>452</v>
      </c>
      <c r="E180" s="153" t="s">
        <v>615</v>
      </c>
      <c r="F180" s="200" t="s">
        <v>1211</v>
      </c>
      <c r="G180" s="200" t="s">
        <v>1212</v>
      </c>
      <c r="H180" s="200" t="s">
        <v>615</v>
      </c>
      <c r="I180" s="200" t="s">
        <v>1212</v>
      </c>
    </row>
    <row r="181" spans="1:9" ht="76.5">
      <c r="A181" t="str">
        <f t="shared" si="2"/>
        <v>Avant la construction, tous les calculs doivent être vérifiés et approuvés par le concepteur responsable.</v>
      </c>
      <c r="D181" t="s">
        <v>453</v>
      </c>
      <c r="E181" t="s">
        <v>616</v>
      </c>
      <c r="F181" s="156" t="s">
        <v>1213</v>
      </c>
      <c r="G181" s="156" t="s">
        <v>1214</v>
      </c>
      <c r="H181" s="156" t="s">
        <v>1215</v>
      </c>
      <c r="I181" s="156" t="s">
        <v>1216</v>
      </c>
    </row>
    <row r="182" spans="1:9" ht="63.75">
      <c r="A182" t="str">
        <f t="shared" si="2"/>
        <v>Les valeurs de résistance mécanique et la géométrie se réfèrent à la certification du produit.</v>
      </c>
      <c r="D182" t="s">
        <v>454</v>
      </c>
      <c r="E182" t="s">
        <v>617</v>
      </c>
      <c r="F182" s="156" t="s">
        <v>1217</v>
      </c>
      <c r="G182" s="156" t="s">
        <v>1218</v>
      </c>
      <c r="H182" s="156" t="s">
        <v>1219</v>
      </c>
      <c r="I182" s="156" t="s">
        <v>1220</v>
      </c>
    </row>
    <row r="183" spans="1:9" ht="102">
      <c r="A183" t="str">
        <f t="shared" si="2"/>
        <v>La vérification de la résistance du système côté ancrage au béton doit être effectuée séparément conformément à l’ETA-22/0806 - Annexe E1.</v>
      </c>
      <c r="D183" t="s">
        <v>659</v>
      </c>
      <c r="E183" t="s">
        <v>658</v>
      </c>
      <c r="F183" s="156" t="s">
        <v>1221</v>
      </c>
      <c r="G183" s="156" t="s">
        <v>1222</v>
      </c>
      <c r="H183" s="156" t="s">
        <v>1223</v>
      </c>
      <c r="I183" s="156" t="s">
        <v>1224</v>
      </c>
    </row>
    <row r="184" spans="1:9" ht="229.5">
      <c r="A184" t="str">
        <f t="shared" si="2"/>
        <v>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v>
      </c>
      <c r="D184" t="s">
        <v>455</v>
      </c>
      <c r="E184" t="s">
        <v>618</v>
      </c>
      <c r="F184" s="156" t="s">
        <v>1225</v>
      </c>
      <c r="G184" s="156" t="s">
        <v>1226</v>
      </c>
      <c r="H184" s="156" t="s">
        <v>1227</v>
      </c>
      <c r="I184" s="156" t="s">
        <v>1228</v>
      </c>
    </row>
    <row r="185" spans="1:9" ht="409.5">
      <c r="A185" t="str">
        <f t="shared" si="2"/>
        <v>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v>
      </c>
      <c r="D185" t="s">
        <v>456</v>
      </c>
      <c r="E185" t="s">
        <v>619</v>
      </c>
      <c r="F185" s="156" t="s">
        <v>1229</v>
      </c>
      <c r="G185" s="156" t="s">
        <v>1230</v>
      </c>
      <c r="H185" s="156" t="s">
        <v>1231</v>
      </c>
      <c r="I185" s="156" t="s">
        <v>1232</v>
      </c>
    </row>
    <row r="186" spans="1:9">
      <c r="A186" t="str">
        <f t="shared" si="2"/>
        <v>(flexion d'une poutre en béton)</v>
      </c>
      <c r="D186" t="s">
        <v>1400</v>
      </c>
      <c r="E186" t="s">
        <v>1401</v>
      </c>
      <c r="F186" t="s">
        <v>1402</v>
      </c>
      <c r="G186" t="s">
        <v>1403</v>
      </c>
      <c r="H186" t="s">
        <v>1404</v>
      </c>
      <c r="I186" t="s">
        <v>1405</v>
      </c>
    </row>
    <row r="187" spans="1:9" s="169" customFormat="1">
      <c r="F187" s="201"/>
      <c r="G187" s="201"/>
      <c r="H187" s="201"/>
      <c r="I187" s="201"/>
    </row>
    <row r="189" spans="1:9">
      <c r="A189" t="s">
        <v>389</v>
      </c>
      <c r="B189" s="168" t="str">
        <f>CONDITIONS!E3</f>
        <v>EN</v>
      </c>
      <c r="D189" s="167" t="s">
        <v>358</v>
      </c>
      <c r="E189" s="167" t="s">
        <v>388</v>
      </c>
      <c r="F189" s="194" t="s">
        <v>671</v>
      </c>
      <c r="G189" s="194" t="s">
        <v>672</v>
      </c>
      <c r="H189" s="194" t="s">
        <v>673</v>
      </c>
      <c r="I189" s="194" t="s">
        <v>674</v>
      </c>
    </row>
    <row r="190" spans="1:9" ht="102">
      <c r="A190" t="str">
        <f>IF($B$189=$D$189,D190,IF($B$189=$E$189,E190,IF($B$189=$F$189,F190,IF($B$189=$G$189,G190,IF($B$189=$H$189,H190,IF($B$189=$I$189,I190,"ERROR"))))))</f>
        <v>GENERAL TERMS AND CONDITIONS OF THE LICENSE AGREEMENT FOR THE USE OF THE SPREADSHEET "TC_FUSION_CALCULATOR"</v>
      </c>
      <c r="D190" t="s">
        <v>479</v>
      </c>
      <c r="E190" t="s">
        <v>1432</v>
      </c>
      <c r="F190" s="156" t="s">
        <v>1233</v>
      </c>
      <c r="G190" s="156" t="s">
        <v>1234</v>
      </c>
      <c r="H190" s="156" t="s">
        <v>1235</v>
      </c>
      <c r="I190" s="156" t="s">
        <v>1236</v>
      </c>
    </row>
    <row r="191" spans="1:9">
      <c r="A191" t="str">
        <f t="shared" ref="A191:A216" si="3">IF($B$189=$D$189,D191,IF($B$189=$E$189,E191,IF($B$189=$F$189,F191,IF($B$189=$G$189,G191,IF($B$189=$H$189,H191,IF($B$189=$I$189,I191,"ERROR"))))))</f>
        <v>1. SUBJECT</v>
      </c>
      <c r="D191" s="154" t="s">
        <v>457</v>
      </c>
      <c r="E191" s="154" t="s">
        <v>641</v>
      </c>
      <c r="F191" s="193" t="s">
        <v>1237</v>
      </c>
      <c r="G191" s="193" t="s">
        <v>1238</v>
      </c>
      <c r="H191" s="193" t="s">
        <v>1239</v>
      </c>
      <c r="I191" s="193" t="s">
        <v>1238</v>
      </c>
    </row>
    <row r="192" spans="1:9" ht="409.5">
      <c r="A192" t="str">
        <f t="shared" si="3"/>
        <v>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v>
      </c>
      <c r="D192" s="154" t="s">
        <v>458</v>
      </c>
      <c r="E192" s="154" t="s">
        <v>621</v>
      </c>
      <c r="F192" s="193" t="s">
        <v>1240</v>
      </c>
      <c r="G192" s="193" t="s">
        <v>1241</v>
      </c>
      <c r="H192" s="193" t="s">
        <v>1242</v>
      </c>
      <c r="I192" s="193" t="s">
        <v>1243</v>
      </c>
    </row>
    <row r="193" spans="1:9" ht="25.5">
      <c r="A193" t="str">
        <f t="shared" si="3"/>
        <v>2. TECHNICAL-STANDARDS REFERENCES</v>
      </c>
      <c r="D193" s="154" t="s">
        <v>459</v>
      </c>
      <c r="E193" s="154" t="s">
        <v>622</v>
      </c>
      <c r="F193" s="193" t="s">
        <v>1244</v>
      </c>
      <c r="G193" s="193" t="s">
        <v>1245</v>
      </c>
      <c r="H193" s="193" t="s">
        <v>1246</v>
      </c>
      <c r="I193" s="193" t="s">
        <v>1247</v>
      </c>
    </row>
    <row r="194" spans="1:9" ht="255">
      <c r="A194" t="str">
        <f t="shared" si="3"/>
        <v>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v>
      </c>
      <c r="D194" s="154" t="s">
        <v>647</v>
      </c>
      <c r="E194" s="154" t="s">
        <v>648</v>
      </c>
      <c r="F194" s="193" t="s">
        <v>1248</v>
      </c>
      <c r="G194" s="193" t="s">
        <v>1249</v>
      </c>
      <c r="H194" s="193" t="s">
        <v>1250</v>
      </c>
      <c r="I194" s="193" t="s">
        <v>1251</v>
      </c>
    </row>
    <row r="195" spans="1:9" ht="25.5">
      <c r="A195" t="str">
        <f t="shared" si="3"/>
        <v>3. RB RIGHTS AND OBLIGATIONS</v>
      </c>
      <c r="D195" s="154" t="s">
        <v>460</v>
      </c>
      <c r="E195" s="154" t="s">
        <v>623</v>
      </c>
      <c r="F195" s="193" t="s">
        <v>1252</v>
      </c>
      <c r="G195" s="193" t="s">
        <v>1253</v>
      </c>
      <c r="H195" s="193" t="s">
        <v>1254</v>
      </c>
      <c r="I195" s="193" t="s">
        <v>1255</v>
      </c>
    </row>
    <row r="196" spans="1:9" ht="409.5">
      <c r="A196" t="str">
        <f t="shared" si="3"/>
        <v>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v>
      </c>
      <c r="D196" s="154" t="s">
        <v>461</v>
      </c>
      <c r="E196" s="154" t="s">
        <v>624</v>
      </c>
      <c r="F196" s="193" t="s">
        <v>1256</v>
      </c>
      <c r="G196" s="193" t="s">
        <v>1257</v>
      </c>
      <c r="H196" s="193" t="s">
        <v>1258</v>
      </c>
      <c r="I196" s="193" t="s">
        <v>1259</v>
      </c>
    </row>
    <row r="197" spans="1:9" ht="38.25">
      <c r="A197" t="str">
        <f t="shared" si="3"/>
        <v>4. USER RIGHTS AND OBLIGATIONS</v>
      </c>
      <c r="D197" s="154" t="s">
        <v>462</v>
      </c>
      <c r="E197" s="154" t="s">
        <v>625</v>
      </c>
      <c r="F197" s="193" t="s">
        <v>1260</v>
      </c>
      <c r="G197" s="193" t="s">
        <v>1261</v>
      </c>
      <c r="H197" s="193" t="s">
        <v>1262</v>
      </c>
      <c r="I197" s="193" t="s">
        <v>1263</v>
      </c>
    </row>
    <row r="198" spans="1:9" ht="409.5">
      <c r="A198" t="str">
        <f t="shared" si="3"/>
        <v>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v>
      </c>
      <c r="D198" s="154" t="s">
        <v>463</v>
      </c>
      <c r="E198" s="154" t="s">
        <v>626</v>
      </c>
      <c r="F198" s="193" t="s">
        <v>1264</v>
      </c>
      <c r="G198" s="193" t="s">
        <v>1265</v>
      </c>
      <c r="H198" s="193" t="s">
        <v>1266</v>
      </c>
      <c r="I198" s="193" t="s">
        <v>1267</v>
      </c>
    </row>
    <row r="199" spans="1:9">
      <c r="A199" t="str">
        <f t="shared" si="3"/>
        <v>5. COPYRIGHTS</v>
      </c>
      <c r="D199" s="154" t="s">
        <v>464</v>
      </c>
      <c r="E199" s="154" t="s">
        <v>627</v>
      </c>
      <c r="F199" s="193" t="s">
        <v>1268</v>
      </c>
      <c r="G199" s="193" t="s">
        <v>1269</v>
      </c>
      <c r="H199" s="193" t="s">
        <v>1270</v>
      </c>
      <c r="I199" s="193" t="s">
        <v>1271</v>
      </c>
    </row>
    <row r="200" spans="1:9" ht="280.5">
      <c r="A200" t="str">
        <f t="shared" si="3"/>
        <v>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v>
      </c>
      <c r="D200" s="154" t="s">
        <v>465</v>
      </c>
      <c r="E200" s="154" t="s">
        <v>628</v>
      </c>
      <c r="F200" s="193" t="s">
        <v>1272</v>
      </c>
      <c r="G200" s="193" t="s">
        <v>1273</v>
      </c>
      <c r="H200" s="193" t="s">
        <v>1274</v>
      </c>
      <c r="I200" s="193" t="s">
        <v>1275</v>
      </c>
    </row>
    <row r="201" spans="1:9" ht="38.25">
      <c r="A201" t="str">
        <f t="shared" si="3"/>
        <v>6. DURATION, WITHDRAWAL AND TERMINATION</v>
      </c>
      <c r="D201" s="154" t="s">
        <v>466</v>
      </c>
      <c r="E201" s="154" t="s">
        <v>629</v>
      </c>
      <c r="F201" s="193" t="s">
        <v>1276</v>
      </c>
      <c r="G201" s="193" t="s">
        <v>1277</v>
      </c>
      <c r="H201" s="193" t="s">
        <v>1278</v>
      </c>
      <c r="I201" s="193" t="s">
        <v>1279</v>
      </c>
    </row>
    <row r="202" spans="1:9" ht="409.5">
      <c r="A202" t="str">
        <f t="shared" si="3"/>
        <v>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v>
      </c>
      <c r="D202" s="154" t="s">
        <v>467</v>
      </c>
      <c r="E202" s="154" t="s">
        <v>630</v>
      </c>
      <c r="F202" s="193" t="s">
        <v>1280</v>
      </c>
      <c r="G202" s="193" t="s">
        <v>1281</v>
      </c>
      <c r="H202" s="193" t="s">
        <v>1282</v>
      </c>
      <c r="I202" s="193" t="s">
        <v>1283</v>
      </c>
    </row>
    <row r="203" spans="1:9">
      <c r="A203" t="str">
        <f t="shared" si="3"/>
        <v>7. RESPONSIBILITY</v>
      </c>
      <c r="D203" s="154" t="s">
        <v>468</v>
      </c>
      <c r="E203" s="154" t="s">
        <v>631</v>
      </c>
      <c r="F203" s="193" t="s">
        <v>1284</v>
      </c>
      <c r="G203" s="193" t="s">
        <v>1285</v>
      </c>
      <c r="H203" s="193" t="s">
        <v>1286</v>
      </c>
      <c r="I203" s="193" t="s">
        <v>1287</v>
      </c>
    </row>
    <row r="204" spans="1:9" ht="409.5">
      <c r="A204" t="str">
        <f t="shared" si="3"/>
        <v>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v>
      </c>
      <c r="D204" s="154" t="s">
        <v>469</v>
      </c>
      <c r="E204" s="154" t="s">
        <v>632</v>
      </c>
      <c r="F204" s="193" t="s">
        <v>1288</v>
      </c>
      <c r="G204" s="193" t="s">
        <v>1289</v>
      </c>
      <c r="H204" s="193" t="s">
        <v>1290</v>
      </c>
      <c r="I204" s="193" t="s">
        <v>1291</v>
      </c>
    </row>
    <row r="205" spans="1:9">
      <c r="A205" t="str">
        <f t="shared" si="3"/>
        <v>8. REFUND</v>
      </c>
      <c r="D205" s="154" t="s">
        <v>470</v>
      </c>
      <c r="E205" s="154" t="s">
        <v>633</v>
      </c>
      <c r="F205" s="193" t="s">
        <v>1292</v>
      </c>
      <c r="G205" s="193" t="s">
        <v>1293</v>
      </c>
      <c r="H205" s="193" t="s">
        <v>1294</v>
      </c>
      <c r="I205" s="193" t="s">
        <v>1293</v>
      </c>
    </row>
    <row r="206" spans="1:9" ht="369.75">
      <c r="A206" t="str">
        <f t="shared" si="3"/>
        <v>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v>
      </c>
      <c r="D206" s="154" t="s">
        <v>471</v>
      </c>
      <c r="E206" s="154" t="s">
        <v>634</v>
      </c>
      <c r="F206" s="193" t="s">
        <v>1295</v>
      </c>
      <c r="G206" s="193" t="s">
        <v>1296</v>
      </c>
      <c r="H206" s="193" t="s">
        <v>1297</v>
      </c>
      <c r="I206" s="193" t="s">
        <v>1298</v>
      </c>
    </row>
    <row r="207" spans="1:9" ht="25.5">
      <c r="A207" t="str">
        <f t="shared" si="3"/>
        <v>9. MISCELLANEOUS</v>
      </c>
      <c r="D207" s="154" t="s">
        <v>472</v>
      </c>
      <c r="E207" s="154" t="s">
        <v>635</v>
      </c>
      <c r="F207" s="193" t="s">
        <v>1299</v>
      </c>
      <c r="G207" s="193" t="s">
        <v>1300</v>
      </c>
      <c r="H207" s="193" t="s">
        <v>1301</v>
      </c>
      <c r="I207" s="193" t="s">
        <v>1302</v>
      </c>
    </row>
    <row r="208" spans="1:9" ht="165.75">
      <c r="A208" t="str">
        <f t="shared" si="3"/>
        <v>These general conditions constitute the entire agreement between RB and the user regarding the subject matter and replace all previous, oral or written agreements, as well as any agreements between RB and the user.</v>
      </c>
      <c r="D208" s="154" t="s">
        <v>473</v>
      </c>
      <c r="E208" s="154" t="s">
        <v>636</v>
      </c>
      <c r="F208" s="193" t="s">
        <v>1303</v>
      </c>
      <c r="G208" s="193" t="s">
        <v>1304</v>
      </c>
      <c r="H208" s="193" t="s">
        <v>1305</v>
      </c>
      <c r="I208" s="193" t="s">
        <v>1306</v>
      </c>
    </row>
    <row r="209" spans="1:9">
      <c r="A209" t="str">
        <f t="shared" si="3"/>
        <v>10. LANGUAGE</v>
      </c>
      <c r="D209" s="154" t="s">
        <v>474</v>
      </c>
      <c r="E209" s="154" t="s">
        <v>637</v>
      </c>
      <c r="F209" s="193" t="s">
        <v>1307</v>
      </c>
      <c r="G209" s="193" t="s">
        <v>1308</v>
      </c>
      <c r="H209" s="193" t="s">
        <v>1309</v>
      </c>
      <c r="I209" s="193" t="s">
        <v>1308</v>
      </c>
    </row>
    <row r="210" spans="1:9" ht="140.25">
      <c r="A210" t="str">
        <f t="shared" si="3"/>
        <v>In the event of differences between versions of these conditions in the various languages, the Italian text is binding and takes precedence with respect to the translations.</v>
      </c>
      <c r="D210" s="154" t="s">
        <v>475</v>
      </c>
      <c r="E210" s="154" t="s">
        <v>638</v>
      </c>
      <c r="F210" s="193" t="s">
        <v>1310</v>
      </c>
      <c r="G210" s="193" t="s">
        <v>1311</v>
      </c>
      <c r="H210" s="193" t="s">
        <v>1312</v>
      </c>
      <c r="I210" s="193" t="s">
        <v>1313</v>
      </c>
    </row>
    <row r="211" spans="1:9" ht="38.25">
      <c r="A211" t="str">
        <f t="shared" si="3"/>
        <v>11. APPLICABLE LAW AND COURT OF JURISDICTION</v>
      </c>
      <c r="D211" s="154" t="s">
        <v>476</v>
      </c>
      <c r="E211" s="154" t="s">
        <v>639</v>
      </c>
      <c r="F211" s="193" t="s">
        <v>1314</v>
      </c>
      <c r="G211" s="193" t="s">
        <v>1315</v>
      </c>
      <c r="H211" s="193" t="s">
        <v>1316</v>
      </c>
      <c r="I211" s="193" t="s">
        <v>1317</v>
      </c>
    </row>
    <row r="212" spans="1:9" ht="229.5">
      <c r="A212" t="str">
        <f t="shared" si="3"/>
        <v>This agreement and any relationship between the parties is governed exclusively by the Italian law. 
Any dispute that may arise between the parties in relation to this agreement, that cannot be resolved amicably, shall be brought before the court of Bolzano.</v>
      </c>
      <c r="D212" s="154" t="s">
        <v>477</v>
      </c>
      <c r="E212" s="154" t="s">
        <v>640</v>
      </c>
      <c r="F212" s="193" t="s">
        <v>1318</v>
      </c>
      <c r="G212" s="193" t="s">
        <v>1319</v>
      </c>
      <c r="H212" s="193" t="s">
        <v>1320</v>
      </c>
      <c r="I212" s="193" t="s">
        <v>1321</v>
      </c>
    </row>
    <row r="213" spans="1:9">
      <c r="A213" t="str">
        <f t="shared" si="3"/>
        <v>12. PRIVACY</v>
      </c>
      <c r="D213" s="154" t="s">
        <v>478</v>
      </c>
      <c r="E213" s="154" t="s">
        <v>478</v>
      </c>
      <c r="F213" s="193" t="s">
        <v>1322</v>
      </c>
      <c r="G213" s="193" t="s">
        <v>1323</v>
      </c>
      <c r="H213" s="193" t="s">
        <v>1324</v>
      </c>
      <c r="I213" s="193" t="s">
        <v>1325</v>
      </c>
    </row>
    <row r="214" spans="1:9" ht="51">
      <c r="A214" t="str">
        <f t="shared" si="3"/>
        <v>Refer to the privacy policy available at the link:</v>
      </c>
      <c r="D214" s="154" t="s">
        <v>482</v>
      </c>
      <c r="E214" s="154" t="s">
        <v>642</v>
      </c>
      <c r="F214" s="193" t="s">
        <v>1326</v>
      </c>
      <c r="G214" s="193" t="s">
        <v>1327</v>
      </c>
      <c r="H214" s="193" t="s">
        <v>1328</v>
      </c>
      <c r="I214" s="193" t="s">
        <v>1329</v>
      </c>
    </row>
    <row r="215" spans="1:9">
      <c r="A215" t="str">
        <f t="shared" si="3"/>
        <v>ACCEPT</v>
      </c>
      <c r="D215" s="154" t="s">
        <v>481</v>
      </c>
      <c r="E215" s="154" t="s">
        <v>643</v>
      </c>
      <c r="F215" s="193" t="s">
        <v>1330</v>
      </c>
      <c r="G215" s="193" t="s">
        <v>1331</v>
      </c>
      <c r="H215" s="193" t="s">
        <v>1332</v>
      </c>
      <c r="I215" s="193" t="s">
        <v>1333</v>
      </c>
    </row>
    <row r="216" spans="1:9">
      <c r="A216" t="str">
        <f t="shared" si="3"/>
        <v>Language</v>
      </c>
      <c r="D216" s="154" t="s">
        <v>363</v>
      </c>
      <c r="E216" t="s">
        <v>484</v>
      </c>
      <c r="F216" s="193" t="s">
        <v>688</v>
      </c>
      <c r="G216" s="193" t="s">
        <v>689</v>
      </c>
      <c r="H216" s="193" t="s">
        <v>690</v>
      </c>
      <c r="I216" s="193" t="s">
        <v>689</v>
      </c>
    </row>
    <row r="218" spans="1:9" s="169" customFormat="1">
      <c r="F218" s="201"/>
      <c r="G218" s="201"/>
      <c r="H218" s="201"/>
      <c r="I218" s="201"/>
    </row>
    <row r="220" spans="1:9">
      <c r="A220" t="s">
        <v>389</v>
      </c>
      <c r="B220" s="168" t="str">
        <f>GEOMETRY!K8</f>
        <v>FR</v>
      </c>
      <c r="D220" s="167" t="s">
        <v>358</v>
      </c>
      <c r="E220" s="167" t="s">
        <v>388</v>
      </c>
      <c r="F220" s="194" t="s">
        <v>671</v>
      </c>
      <c r="G220" s="194" t="s">
        <v>672</v>
      </c>
      <c r="H220" s="194" t="s">
        <v>673</v>
      </c>
      <c r="I220" s="194" t="s">
        <v>674</v>
      </c>
    </row>
    <row r="221" spans="1:9" ht="63.75">
      <c r="A221" t="str">
        <f>IF($B$220=$D$220,D221,IF($B$220=$E$220,E221,IF($B$220=$F$220,F221,IF($B$220=$G$220,G221,IF($B$220=$H$220,H221,IF($B$220=$I$220,I221,"ERROR"))))))</f>
        <v>(*) pour les agrégats de taille supérieure à 15 mm, évaluer les conditions de coulage du béton</v>
      </c>
      <c r="D221" t="s">
        <v>649</v>
      </c>
      <c r="E221" t="s">
        <v>655</v>
      </c>
      <c r="F221" s="156" t="s">
        <v>1334</v>
      </c>
      <c r="G221" s="156" t="s">
        <v>1335</v>
      </c>
      <c r="H221" s="156" t="s">
        <v>1336</v>
      </c>
      <c r="I221" s="156" t="s">
        <v>1337</v>
      </c>
    </row>
    <row r="222" spans="1:9" ht="76.5">
      <c r="A222" t="str">
        <f>IF($B$220=$D$220,D222,IF($B$220=$E$220,E222,IF($B$220=$F$220,F222,IF($B$220=$G$220,G222,IF($B$220=$H$220,H222,IF($B$220=$I$220,I222,"ERROR"))))))</f>
        <v>(*) doubler la rigidité dans le cas d'un assemblage non symétrique avec un seul plan de connexion</v>
      </c>
      <c r="D222" t="s">
        <v>657</v>
      </c>
      <c r="E222" t="s">
        <v>656</v>
      </c>
      <c r="F222" s="156" t="s">
        <v>1338</v>
      </c>
      <c r="G222" s="156" t="s">
        <v>1339</v>
      </c>
      <c r="H222" s="156" t="s">
        <v>1340</v>
      </c>
      <c r="I222" s="156" t="s">
        <v>1341</v>
      </c>
    </row>
    <row r="223" spans="1:9" ht="25.5">
      <c r="A223" t="str">
        <f>IF($B$220=$D$220,D223,IF($B$220=$E$220,E223,IF($B$220=$F$220,F223,IF($B$220=$G$220,G223,IF($B$220=$H$220,H223,IF($B$220=$I$220,I223,"ERROR"))))))</f>
        <v>Enrobage minimum requis</v>
      </c>
      <c r="D223" t="s">
        <v>676</v>
      </c>
      <c r="E223" t="s">
        <v>677</v>
      </c>
      <c r="F223" s="156" t="s">
        <v>1342</v>
      </c>
      <c r="G223" s="156" t="s">
        <v>1343</v>
      </c>
      <c r="H223" s="156" t="s">
        <v>1344</v>
      </c>
      <c r="I223" s="156" t="s">
        <v>1345</v>
      </c>
    </row>
    <row r="224" spans="1:9">
      <c r="A224" t="str">
        <f t="shared" ref="A224:A226" si="4">IF($B$220=$D$220,D224,IF($B$220=$E$220,E224,IF($B$220=$F$220,F224,IF($B$220=$G$220,G224,IF($B$220=$H$220,H224,IF($B$220=$I$220,I224,"ERROR"))))))</f>
        <v>Bois</v>
      </c>
      <c r="D224" t="s">
        <v>678</v>
      </c>
      <c r="E224" t="s">
        <v>679</v>
      </c>
      <c r="F224" s="156" t="s">
        <v>1346</v>
      </c>
      <c r="G224" s="156" t="s">
        <v>1347</v>
      </c>
      <c r="H224" s="156" t="s">
        <v>1348</v>
      </c>
      <c r="I224" s="156" t="s">
        <v>1349</v>
      </c>
    </row>
    <row r="225" spans="1:9">
      <c r="A225" t="str">
        <f t="shared" si="4"/>
        <v>Béton</v>
      </c>
      <c r="D225" t="s">
        <v>23</v>
      </c>
      <c r="E225" t="s">
        <v>327</v>
      </c>
      <c r="F225" s="156" t="s">
        <v>846</v>
      </c>
      <c r="G225" s="156" t="s">
        <v>847</v>
      </c>
      <c r="H225" s="156" t="s">
        <v>848</v>
      </c>
      <c r="I225" s="156" t="s">
        <v>849</v>
      </c>
    </row>
    <row r="226" spans="1:9">
      <c r="A226" t="str">
        <f t="shared" si="4"/>
        <v>Coefficient</v>
      </c>
      <c r="D226" t="s">
        <v>685</v>
      </c>
      <c r="E226" t="s">
        <v>686</v>
      </c>
      <c r="F226" s="156" t="s">
        <v>1350</v>
      </c>
      <c r="G226" s="156" t="s">
        <v>1351</v>
      </c>
      <c r="H226" s="156" t="s">
        <v>686</v>
      </c>
      <c r="I226" s="156" t="s">
        <v>1351</v>
      </c>
    </row>
  </sheetData>
  <sheetProtection algorithmName="SHA-512" hashValue="Fg6baipDuEx52YxTNoyDIBs1kiCunTIoNDOytQn9/sE3SGMJEwlBSY/37gDojwdWprtL5dVCn2RSkVLOFjFB3Q==" saltValue="BCGVs7V2UrRkeucsADOqHA=="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30ED-C311-4458-BE29-F950F48792E6}">
  <sheetPr codeName="Foglio8"/>
  <dimension ref="C1:AN96"/>
  <sheetViews>
    <sheetView workbookViewId="0">
      <selection activeCell="P26" sqref="P26"/>
    </sheetView>
  </sheetViews>
  <sheetFormatPr baseColWidth="10" defaultColWidth="9" defaultRowHeight="12.75"/>
  <sheetData>
    <row r="1" spans="3:40">
      <c r="AC1" t="s">
        <v>97</v>
      </c>
      <c r="AF1" t="s">
        <v>97</v>
      </c>
      <c r="AJ1" t="s">
        <v>287</v>
      </c>
    </row>
    <row r="2" spans="3:40">
      <c r="M2" t="s">
        <v>118</v>
      </c>
      <c r="N2" t="s">
        <v>230</v>
      </c>
      <c r="P2" t="s">
        <v>118</v>
      </c>
      <c r="Q2" t="s">
        <v>230</v>
      </c>
      <c r="AB2">
        <f>IF(I8="T",0,AB3+50)</f>
        <v>300</v>
      </c>
      <c r="AC2">
        <f>IF(I8="T",0,AC3+50)</f>
        <v>550</v>
      </c>
      <c r="AE2">
        <f>IF(I8="T",0,AE3+50)</f>
        <v>1500</v>
      </c>
      <c r="AF2">
        <f>IF(I8="T",0,AF3+50)</f>
        <v>550</v>
      </c>
      <c r="AJ2">
        <f>IF(I8="L",0,N5/2+50)</f>
        <v>0</v>
      </c>
      <c r="AK2">
        <f>IF(I8="L",0,M4/4+50)</f>
        <v>0</v>
      </c>
      <c r="AM2">
        <f>IF(I8="L",0,AJ2++D9+D23)</f>
        <v>0</v>
      </c>
      <c r="AN2">
        <f>IF(I8="L",0,AK2)</f>
        <v>0</v>
      </c>
    </row>
    <row r="3" spans="3:40">
      <c r="L3">
        <v>1</v>
      </c>
      <c r="M3">
        <f>0</f>
        <v>0</v>
      </c>
      <c r="N3">
        <v>0</v>
      </c>
      <c r="P3">
        <f>M3+D9+D23</f>
        <v>1200</v>
      </c>
      <c r="Q3">
        <f>N3</f>
        <v>0</v>
      </c>
      <c r="S3">
        <v>0</v>
      </c>
      <c r="T3">
        <v>0</v>
      </c>
      <c r="V3">
        <f>P3</f>
        <v>1200</v>
      </c>
      <c r="W3">
        <f>Q3</f>
        <v>0</v>
      </c>
      <c r="Y3">
        <f>D9+5</f>
        <v>1005</v>
      </c>
      <c r="Z3">
        <f>Q3</f>
        <v>0</v>
      </c>
      <c r="AB3">
        <f>IF(I8="T",0,M4/4)</f>
        <v>250</v>
      </c>
      <c r="AC3">
        <f>IF(I8="T",0,N5/2)</f>
        <v>500</v>
      </c>
      <c r="AE3">
        <f>IF(I8="T",0,AB3+D9+D23)</f>
        <v>1450</v>
      </c>
      <c r="AF3">
        <f>IF(I8="T",0,AC3)</f>
        <v>500</v>
      </c>
      <c r="AJ3">
        <f>IF(I8="L",0,N5/2)</f>
        <v>0</v>
      </c>
      <c r="AK3">
        <f>IF(I8="L",0,M4/4)</f>
        <v>0</v>
      </c>
      <c r="AM3">
        <f>IF(I8="L",0,AJ3++D9+D23)</f>
        <v>0</v>
      </c>
      <c r="AN3">
        <f>IF(I8="L",0,AK3)</f>
        <v>0</v>
      </c>
    </row>
    <row r="4" spans="3:40">
      <c r="L4">
        <v>2</v>
      </c>
      <c r="M4">
        <f>D9</f>
        <v>1000</v>
      </c>
      <c r="N4">
        <v>0</v>
      </c>
      <c r="P4">
        <f>M4+D23+D9</f>
        <v>2200</v>
      </c>
      <c r="Q4">
        <f t="shared" ref="Q4:Q6" si="0">N4</f>
        <v>0</v>
      </c>
      <c r="S4">
        <v>0</v>
      </c>
      <c r="T4">
        <f>D9</f>
        <v>1000</v>
      </c>
      <c r="V4">
        <f>0</f>
        <v>0</v>
      </c>
      <c r="W4">
        <f>Q3</f>
        <v>0</v>
      </c>
      <c r="Y4">
        <f>D9-5+D23</f>
        <v>1195</v>
      </c>
      <c r="Z4">
        <f t="shared" ref="Z4:Z6" si="1">Q4</f>
        <v>0</v>
      </c>
      <c r="AB4">
        <f>IF(I8="T",0,M5-AB3)</f>
        <v>750</v>
      </c>
      <c r="AC4">
        <f>IF(I8="T",0,AC3)</f>
        <v>500</v>
      </c>
      <c r="AE4">
        <f>IF(I8="T",0,AB4+D9+D23)</f>
        <v>1950</v>
      </c>
      <c r="AF4">
        <f>IF(I8="T",0,AC4)</f>
        <v>500</v>
      </c>
      <c r="AJ4">
        <f>IF(I8="L",0,N5/2)</f>
        <v>0</v>
      </c>
      <c r="AK4">
        <f>IF(I8="L",0,M5-M4/4)</f>
        <v>0</v>
      </c>
      <c r="AM4">
        <f>IF(I8="L",0,AJ4++D9+D23)</f>
        <v>0</v>
      </c>
      <c r="AN4">
        <f>IF(I8="L",0,AK4)</f>
        <v>0</v>
      </c>
    </row>
    <row r="5" spans="3:40">
      <c r="L5">
        <v>3</v>
      </c>
      <c r="M5">
        <f>M4</f>
        <v>1000</v>
      </c>
      <c r="N5">
        <f>M4</f>
        <v>1000</v>
      </c>
      <c r="P5">
        <f>M5+D23+D9</f>
        <v>2200</v>
      </c>
      <c r="Q5">
        <f t="shared" si="0"/>
        <v>1000</v>
      </c>
      <c r="Y5">
        <f>P5-5-D9</f>
        <v>1195</v>
      </c>
      <c r="Z5">
        <f t="shared" si="1"/>
        <v>1000</v>
      </c>
      <c r="AB5">
        <f>IF(I8="T",0,AB4-50)</f>
        <v>700</v>
      </c>
      <c r="AC5">
        <f>IF(I8="T",0,AC4-50)</f>
        <v>450</v>
      </c>
      <c r="AE5">
        <f>IF(I8="T",0,AE4-50)</f>
        <v>1900</v>
      </c>
      <c r="AF5">
        <f>IF(I8="T",0,AF4-50)</f>
        <v>450</v>
      </c>
      <c r="AJ5">
        <f>IF(I8="L",0,N5/2-50)</f>
        <v>0</v>
      </c>
      <c r="AK5">
        <f>IF(I8="L",0,M5-M4/4-50)</f>
        <v>0</v>
      </c>
      <c r="AM5">
        <f>IF(I8="L",0,AJ5+D9+D23)</f>
        <v>0</v>
      </c>
      <c r="AN5">
        <f>IF(I8="L",0,AK5)</f>
        <v>0</v>
      </c>
    </row>
    <row r="6" spans="3:40">
      <c r="L6">
        <v>4</v>
      </c>
      <c r="M6">
        <f>0</f>
        <v>0</v>
      </c>
      <c r="N6">
        <f>M5</f>
        <v>1000</v>
      </c>
      <c r="P6">
        <f>M6+D23+D9</f>
        <v>1200</v>
      </c>
      <c r="Q6">
        <f t="shared" si="0"/>
        <v>1000</v>
      </c>
      <c r="S6">
        <f>P6</f>
        <v>1200</v>
      </c>
      <c r="T6">
        <f>Q6</f>
        <v>1000</v>
      </c>
      <c r="Y6">
        <f>D9+5</f>
        <v>1005</v>
      </c>
      <c r="Z6">
        <f t="shared" si="1"/>
        <v>1000</v>
      </c>
    </row>
    <row r="7" spans="3:40">
      <c r="P7">
        <f>P3</f>
        <v>1200</v>
      </c>
      <c r="Q7">
        <f>Q3</f>
        <v>0</v>
      </c>
      <c r="S7">
        <f>S6</f>
        <v>1200</v>
      </c>
      <c r="T7">
        <f>Q3</f>
        <v>0</v>
      </c>
      <c r="Y7">
        <f>Y3</f>
        <v>1005</v>
      </c>
      <c r="Z7">
        <f>Z3</f>
        <v>0</v>
      </c>
    </row>
    <row r="8" spans="3:40">
      <c r="I8" t="str">
        <f>GEOMETRY!H34</f>
        <v>L</v>
      </c>
      <c r="Y8">
        <f>Y5</f>
        <v>1195</v>
      </c>
      <c r="Z8">
        <f>Z5</f>
        <v>1000</v>
      </c>
      <c r="AF8">
        <f>IF(I8="T",0,1)</f>
        <v>1</v>
      </c>
    </row>
    <row r="9" spans="3:40">
      <c r="C9" t="s">
        <v>149</v>
      </c>
      <c r="D9">
        <f>GEOMETRY!H21</f>
        <v>1000</v>
      </c>
      <c r="E9" t="s">
        <v>113</v>
      </c>
      <c r="I9" t="str">
        <f>GEOMETRY!$H$32</f>
        <v>260mm - 7s - 40 40 30 40 30 40 40</v>
      </c>
      <c r="Y9">
        <f>Y6</f>
        <v>1005</v>
      </c>
      <c r="Z9">
        <f>Z8</f>
        <v>1000</v>
      </c>
    </row>
    <row r="10" spans="3:40">
      <c r="C10" t="s">
        <v>141</v>
      </c>
      <c r="D10">
        <f>GEOMETRY!H33</f>
        <v>260</v>
      </c>
      <c r="E10" t="s">
        <v>113</v>
      </c>
      <c r="Y10">
        <f>Y8</f>
        <v>1195</v>
      </c>
      <c r="Z10">
        <v>0</v>
      </c>
    </row>
    <row r="11" spans="3:40">
      <c r="C11" t="s">
        <v>317</v>
      </c>
      <c r="D11">
        <f>IF(--MID(GEOMETRY!H31,3,1)=1,--MID(GEOMETRY!H31,3,2),--MID(GEOMETRY!H31,3,1))</f>
        <v>7</v>
      </c>
      <c r="F11">
        <v>1</v>
      </c>
      <c r="G11">
        <f>IF(F11&lt;$D$11,F11,IF(F11=$D$11,F11,""))</f>
        <v>1</v>
      </c>
      <c r="H11">
        <f>IF(G11="","",1)</f>
        <v>1</v>
      </c>
      <c r="I11">
        <f>IF(G11="","",IF(--MID(GEOMETRY!$H$31,3,1)=1,--MID(GEOMETRY!$H$32,15,2),--MID(GEOMETRY!$H$32,14,2)))</f>
        <v>40</v>
      </c>
      <c r="M11" t="s">
        <v>318</v>
      </c>
      <c r="N11" t="s">
        <v>118</v>
      </c>
      <c r="O11" t="s">
        <v>230</v>
      </c>
      <c r="Q11" t="s">
        <v>319</v>
      </c>
    </row>
    <row r="12" spans="3:40">
      <c r="F12">
        <v>2</v>
      </c>
      <c r="G12">
        <f t="shared" ref="G12:G21" si="2">IF(F12&lt;$D$11,F12,IF(F12=$D$11,F12,""))</f>
        <v>2</v>
      </c>
      <c r="H12">
        <f t="shared" ref="H12:H21" si="3">IF(G12="","",1)</f>
        <v>1</v>
      </c>
      <c r="I12">
        <f>IF(G12="","",IF(--MID(GEOMETRY!$H$31,3,1)=1,--MID(GEOMETRY!$H$32,15+3,2),--MID(GEOMETRY!$H$32,14+3,2)))</f>
        <v>40</v>
      </c>
      <c r="L12">
        <v>1</v>
      </c>
      <c r="M12">
        <f>IF(L12&gt;$D$17,"",L12)</f>
        <v>1</v>
      </c>
      <c r="N12">
        <f>IF(M12="","",D19)</f>
        <v>50</v>
      </c>
      <c r="O12">
        <f>IF(M12="","",$D$16)</f>
        <v>45</v>
      </c>
      <c r="Q12">
        <f>IF(L12&gt;$D$18,"",L12)</f>
        <v>1</v>
      </c>
      <c r="R12">
        <f>IF(Q12="","",D20)</f>
        <v>100</v>
      </c>
      <c r="S12">
        <f>IF(Q12="","",$D$10-$D$16)</f>
        <v>215</v>
      </c>
    </row>
    <row r="13" spans="3:40">
      <c r="F13">
        <v>3</v>
      </c>
      <c r="G13">
        <f t="shared" si="2"/>
        <v>3</v>
      </c>
      <c r="H13">
        <f t="shared" si="3"/>
        <v>1</v>
      </c>
      <c r="I13">
        <f>IF(G13="","",IF(--MID(GEOMETRY!$H$31,3,1)=1,--MID(GEOMETRY!$H$32,15+6,2),--MID(GEOMETRY!$H$32,14+6,2)))</f>
        <v>30</v>
      </c>
      <c r="L13">
        <v>2</v>
      </c>
      <c r="M13">
        <f t="shared" ref="M13:M36" si="4">IF(L13&gt;$D$17,"",L13)</f>
        <v>2</v>
      </c>
      <c r="N13">
        <f>IF(M13="","",N12+$D$14)</f>
        <v>250</v>
      </c>
      <c r="O13">
        <f t="shared" ref="O13:O36" si="5">IF(M13="","",$D$16)</f>
        <v>45</v>
      </c>
      <c r="Q13">
        <f>IF(L13&gt;$D$18,"",L13)</f>
        <v>2</v>
      </c>
      <c r="R13">
        <f>IF(Q13="","",R12+$D$15)</f>
        <v>300</v>
      </c>
      <c r="S13">
        <f t="shared" ref="S13:S36" si="6">IF(Q13="","",$D$10-$D$16)</f>
        <v>215</v>
      </c>
    </row>
    <row r="14" spans="3:40">
      <c r="C14" t="s">
        <v>157</v>
      </c>
      <c r="D14">
        <f>GEOMETRY!H40</f>
        <v>200</v>
      </c>
      <c r="E14" t="s">
        <v>113</v>
      </c>
      <c r="F14">
        <v>4</v>
      </c>
      <c r="G14">
        <f t="shared" si="2"/>
        <v>4</v>
      </c>
      <c r="H14">
        <f t="shared" si="3"/>
        <v>1</v>
      </c>
      <c r="I14">
        <f>IF(G14="","",IF(--MID(GEOMETRY!$H$31,3,1)=1,--MID(GEOMETRY!$H$32,15+9,2),--MID(GEOMETRY!$H$32,14+9,2)))</f>
        <v>40</v>
      </c>
      <c r="L14">
        <v>3</v>
      </c>
      <c r="M14">
        <f t="shared" si="4"/>
        <v>3</v>
      </c>
      <c r="N14">
        <f>IF(M14="","",N13+$D$14)</f>
        <v>450</v>
      </c>
      <c r="O14">
        <f t="shared" si="5"/>
        <v>45</v>
      </c>
      <c r="Q14">
        <f>IF(L14&gt;$D$18,"",L14)</f>
        <v>3</v>
      </c>
      <c r="R14">
        <f t="shared" ref="R14:R36" si="7">IF(Q14="","",R13+$D$15)</f>
        <v>500</v>
      </c>
      <c r="S14">
        <f t="shared" si="6"/>
        <v>215</v>
      </c>
    </row>
    <row r="15" spans="3:40">
      <c r="C15" t="s">
        <v>158</v>
      </c>
      <c r="D15">
        <f>GEOMETRY!H41</f>
        <v>200</v>
      </c>
      <c r="E15" t="s">
        <v>113</v>
      </c>
      <c r="F15">
        <v>5</v>
      </c>
      <c r="G15">
        <f t="shared" si="2"/>
        <v>5</v>
      </c>
      <c r="H15">
        <f t="shared" si="3"/>
        <v>1</v>
      </c>
      <c r="I15">
        <f>IF(G15="","",IF(--MID(GEOMETRY!$H$31,3,1)=1,--MID(GEOMETRY!$H$32,15+12,2),--MID(GEOMETRY!$H$32,14+12,2)))</f>
        <v>30</v>
      </c>
      <c r="L15">
        <v>4</v>
      </c>
      <c r="M15">
        <f t="shared" si="4"/>
        <v>4</v>
      </c>
      <c r="N15">
        <f t="shared" ref="N15:N36" si="8">IF(M15="","",N14+$D$14)</f>
        <v>650</v>
      </c>
      <c r="O15">
        <f t="shared" si="5"/>
        <v>45</v>
      </c>
      <c r="Q15">
        <f>IF(L15&gt;$D$18,"",L15)</f>
        <v>4</v>
      </c>
      <c r="R15">
        <f t="shared" si="7"/>
        <v>700</v>
      </c>
      <c r="S15">
        <f t="shared" si="6"/>
        <v>215</v>
      </c>
    </row>
    <row r="16" spans="3:40">
      <c r="C16" t="s">
        <v>147</v>
      </c>
      <c r="D16">
        <f>GEOMETRY!H70</f>
        <v>45</v>
      </c>
      <c r="E16" t="s">
        <v>113</v>
      </c>
      <c r="F16">
        <v>6</v>
      </c>
      <c r="G16">
        <f t="shared" si="2"/>
        <v>6</v>
      </c>
      <c r="H16">
        <f t="shared" si="3"/>
        <v>1</v>
      </c>
      <c r="I16">
        <f>IF(G16="","",IF(--MID(GEOMETRY!$H$31,3,1)=1,--MID(GEOMETRY!$H$32,15+15,2),--MID(GEOMETRY!$H$32,14+15,2)))</f>
        <v>40</v>
      </c>
      <c r="L16">
        <v>5</v>
      </c>
      <c r="M16">
        <f t="shared" si="4"/>
        <v>5</v>
      </c>
      <c r="N16">
        <f>IF(M16="","",N15+$D$14)</f>
        <v>850</v>
      </c>
      <c r="O16">
        <f t="shared" si="5"/>
        <v>45</v>
      </c>
      <c r="Q16">
        <f>IF(L16&gt;$D$18,"",L16)</f>
        <v>5</v>
      </c>
      <c r="R16">
        <f t="shared" si="7"/>
        <v>900</v>
      </c>
      <c r="S16">
        <f t="shared" si="6"/>
        <v>215</v>
      </c>
    </row>
    <row r="17" spans="3:19">
      <c r="C17" t="s">
        <v>234</v>
      </c>
      <c r="D17">
        <f>D9/D14</f>
        <v>5</v>
      </c>
      <c r="E17" t="s">
        <v>113</v>
      </c>
      <c r="F17">
        <v>7</v>
      </c>
      <c r="G17">
        <f t="shared" si="2"/>
        <v>7</v>
      </c>
      <c r="H17">
        <f t="shared" si="3"/>
        <v>1</v>
      </c>
      <c r="I17">
        <f>IF(G17="","",IF(--MID(GEOMETRY!$H$31,3,1)=1,--MID(GEOMETRY!$H$32,15+18,2),--MID(GEOMETRY!$H$32,14+18,2)))</f>
        <v>40</v>
      </c>
      <c r="L17">
        <v>6</v>
      </c>
      <c r="M17" t="str">
        <f>IF(L17&gt;$D$17,"",L17)</f>
        <v/>
      </c>
      <c r="N17" t="str">
        <f t="shared" si="8"/>
        <v/>
      </c>
      <c r="O17" t="str">
        <f t="shared" si="5"/>
        <v/>
      </c>
      <c r="R17" t="str">
        <f t="shared" si="7"/>
        <v/>
      </c>
      <c r="S17" t="str">
        <f t="shared" si="6"/>
        <v/>
      </c>
    </row>
    <row r="18" spans="3:19">
      <c r="C18" t="s">
        <v>235</v>
      </c>
      <c r="D18">
        <f>D9/D15</f>
        <v>5</v>
      </c>
      <c r="E18" t="s">
        <v>113</v>
      </c>
      <c r="F18">
        <v>8</v>
      </c>
      <c r="G18" t="str">
        <f t="shared" si="2"/>
        <v/>
      </c>
      <c r="H18" t="str">
        <f t="shared" si="3"/>
        <v/>
      </c>
      <c r="I18" t="str">
        <f>IF(G18="","",IF(--MID(GEOMETRY!$H$31,3,1)=1,--MID(GEOMETRY!$H$32,15+21,2),--MID(GEOMETRY!$H$32,14+21,2)))</f>
        <v/>
      </c>
      <c r="L18">
        <v>7</v>
      </c>
      <c r="M18" t="str">
        <f t="shared" si="4"/>
        <v/>
      </c>
      <c r="N18" t="str">
        <f t="shared" si="8"/>
        <v/>
      </c>
      <c r="O18" t="str">
        <f t="shared" si="5"/>
        <v/>
      </c>
      <c r="R18" t="str">
        <f t="shared" si="7"/>
        <v/>
      </c>
      <c r="S18" t="str">
        <f t="shared" si="6"/>
        <v/>
      </c>
    </row>
    <row r="19" spans="3:19">
      <c r="C19" t="s">
        <v>320</v>
      </c>
      <c r="D19">
        <v>50</v>
      </c>
      <c r="E19" t="s">
        <v>113</v>
      </c>
      <c r="F19">
        <v>9</v>
      </c>
      <c r="G19" t="str">
        <f t="shared" si="2"/>
        <v/>
      </c>
      <c r="H19" t="str">
        <f t="shared" si="3"/>
        <v/>
      </c>
      <c r="I19" t="str">
        <f>IF(G19="","",IF(--MID(GEOMETRY!$H$31,3,1)=1,--MID(GEOMETRY!$H$32,15+24,2),--MID(GEOMETRY!$H$32,14+24,2)))</f>
        <v/>
      </c>
      <c r="L19">
        <v>8</v>
      </c>
      <c r="M19" t="str">
        <f t="shared" si="4"/>
        <v/>
      </c>
      <c r="N19" t="str">
        <f t="shared" si="8"/>
        <v/>
      </c>
      <c r="O19" t="str">
        <f t="shared" si="5"/>
        <v/>
      </c>
      <c r="R19" t="str">
        <f t="shared" si="7"/>
        <v/>
      </c>
      <c r="S19" t="str">
        <f t="shared" si="6"/>
        <v/>
      </c>
    </row>
    <row r="20" spans="3:19">
      <c r="C20" t="s">
        <v>321</v>
      </c>
      <c r="D20">
        <v>100</v>
      </c>
      <c r="E20" t="s">
        <v>113</v>
      </c>
      <c r="F20">
        <v>10</v>
      </c>
      <c r="G20" t="str">
        <f t="shared" si="2"/>
        <v/>
      </c>
      <c r="H20" t="str">
        <f t="shared" si="3"/>
        <v/>
      </c>
      <c r="I20" t="str">
        <f>IF(G20="","",IF(--MID(GEOMETRY!$H$31,3,1)=1,--MID(GEOMETRY!$H$32,15+27,2),--MID(GEOMETRY!$H$32,14+27,2)))</f>
        <v/>
      </c>
      <c r="L20">
        <v>9</v>
      </c>
      <c r="M20" t="str">
        <f t="shared" si="4"/>
        <v/>
      </c>
      <c r="N20" t="str">
        <f t="shared" si="8"/>
        <v/>
      </c>
      <c r="O20" t="str">
        <f t="shared" si="5"/>
        <v/>
      </c>
      <c r="R20" t="str">
        <f t="shared" si="7"/>
        <v/>
      </c>
      <c r="S20" t="str">
        <f t="shared" si="6"/>
        <v/>
      </c>
    </row>
    <row r="21" spans="3:19">
      <c r="C21" t="s">
        <v>326</v>
      </c>
      <c r="D21">
        <f>IF(GEOMETRY!H42="N",0,GEOMETRY!I42)</f>
        <v>0</v>
      </c>
      <c r="E21" t="s">
        <v>113</v>
      </c>
      <c r="F21">
        <v>11</v>
      </c>
      <c r="G21" t="str">
        <f t="shared" si="2"/>
        <v/>
      </c>
      <c r="H21" t="str">
        <f t="shared" si="3"/>
        <v/>
      </c>
      <c r="I21" t="str">
        <f>IF(G21="","",IF(--MID(GEOMETRY!$H$31,3,1)=1,--MID(GEOMETRY!$H$32,15+30,2),--MID(GEOMETRY!$H$32,14+30,2)))</f>
        <v/>
      </c>
      <c r="L21">
        <v>10</v>
      </c>
      <c r="M21" t="str">
        <f t="shared" si="4"/>
        <v/>
      </c>
      <c r="N21" t="str">
        <f t="shared" si="8"/>
        <v/>
      </c>
      <c r="O21" t="str">
        <f t="shared" si="5"/>
        <v/>
      </c>
      <c r="R21" t="str">
        <f t="shared" si="7"/>
        <v/>
      </c>
      <c r="S21" t="str">
        <f t="shared" si="6"/>
        <v/>
      </c>
    </row>
    <row r="22" spans="3:19">
      <c r="C22" t="s">
        <v>325</v>
      </c>
      <c r="D22">
        <f>D23+60</f>
        <v>260</v>
      </c>
      <c r="E22" t="s">
        <v>113</v>
      </c>
      <c r="L22">
        <v>11</v>
      </c>
      <c r="M22" t="str">
        <f t="shared" si="4"/>
        <v/>
      </c>
      <c r="N22" t="str">
        <f t="shared" si="8"/>
        <v/>
      </c>
      <c r="O22" t="str">
        <f t="shared" si="5"/>
        <v/>
      </c>
      <c r="R22" t="str">
        <f t="shared" si="7"/>
        <v/>
      </c>
      <c r="S22" t="str">
        <f t="shared" si="6"/>
        <v/>
      </c>
    </row>
    <row r="23" spans="3:19">
      <c r="C23" t="s">
        <v>322</v>
      </c>
      <c r="D23">
        <f>GEOMETRY!H67</f>
        <v>200</v>
      </c>
      <c r="E23" t="s">
        <v>113</v>
      </c>
      <c r="L23">
        <v>12</v>
      </c>
      <c r="M23" t="str">
        <f t="shared" si="4"/>
        <v/>
      </c>
      <c r="N23" t="str">
        <f t="shared" si="8"/>
        <v/>
      </c>
      <c r="O23" t="str">
        <f t="shared" si="5"/>
        <v/>
      </c>
      <c r="R23" t="str">
        <f t="shared" si="7"/>
        <v/>
      </c>
      <c r="S23" t="str">
        <f t="shared" si="6"/>
        <v/>
      </c>
    </row>
    <row r="24" spans="3:19">
      <c r="L24">
        <v>13</v>
      </c>
      <c r="M24" t="str">
        <f t="shared" si="4"/>
        <v/>
      </c>
      <c r="N24" t="str">
        <f t="shared" si="8"/>
        <v/>
      </c>
      <c r="O24" t="str">
        <f t="shared" si="5"/>
        <v/>
      </c>
      <c r="R24" t="str">
        <f t="shared" si="7"/>
        <v/>
      </c>
      <c r="S24" t="str">
        <f t="shared" si="6"/>
        <v/>
      </c>
    </row>
    <row r="25" spans="3:19">
      <c r="L25">
        <v>14</v>
      </c>
      <c r="M25" t="str">
        <f t="shared" si="4"/>
        <v/>
      </c>
      <c r="N25" t="str">
        <f t="shared" si="8"/>
        <v/>
      </c>
      <c r="O25" t="str">
        <f t="shared" si="5"/>
        <v/>
      </c>
      <c r="R25" t="str">
        <f t="shared" si="7"/>
        <v/>
      </c>
      <c r="S25" t="str">
        <f t="shared" si="6"/>
        <v/>
      </c>
    </row>
    <row r="26" spans="3:19">
      <c r="L26">
        <v>15</v>
      </c>
      <c r="M26" t="str">
        <f t="shared" si="4"/>
        <v/>
      </c>
      <c r="N26" t="str">
        <f t="shared" si="8"/>
        <v/>
      </c>
      <c r="O26" t="str">
        <f t="shared" si="5"/>
        <v/>
      </c>
      <c r="R26" t="str">
        <f t="shared" si="7"/>
        <v/>
      </c>
      <c r="S26" t="str">
        <f t="shared" si="6"/>
        <v/>
      </c>
    </row>
    <row r="27" spans="3:19">
      <c r="L27">
        <v>16</v>
      </c>
      <c r="M27" t="str">
        <f t="shared" si="4"/>
        <v/>
      </c>
      <c r="N27" t="str">
        <f t="shared" si="8"/>
        <v/>
      </c>
      <c r="O27" t="str">
        <f t="shared" si="5"/>
        <v/>
      </c>
      <c r="R27" t="str">
        <f t="shared" si="7"/>
        <v/>
      </c>
      <c r="S27" t="str">
        <f t="shared" si="6"/>
        <v/>
      </c>
    </row>
    <row r="28" spans="3:19">
      <c r="L28">
        <v>17</v>
      </c>
      <c r="M28" t="str">
        <f t="shared" si="4"/>
        <v/>
      </c>
      <c r="N28" t="str">
        <f t="shared" si="8"/>
        <v/>
      </c>
      <c r="O28" t="str">
        <f t="shared" si="5"/>
        <v/>
      </c>
      <c r="R28" t="str">
        <f t="shared" si="7"/>
        <v/>
      </c>
      <c r="S28" t="str">
        <f t="shared" si="6"/>
        <v/>
      </c>
    </row>
    <row r="29" spans="3:19">
      <c r="L29">
        <v>18</v>
      </c>
      <c r="M29" t="str">
        <f t="shared" si="4"/>
        <v/>
      </c>
      <c r="N29" t="str">
        <f t="shared" si="8"/>
        <v/>
      </c>
      <c r="O29" t="str">
        <f t="shared" si="5"/>
        <v/>
      </c>
      <c r="R29" t="str">
        <f t="shared" si="7"/>
        <v/>
      </c>
      <c r="S29" t="str">
        <f t="shared" si="6"/>
        <v/>
      </c>
    </row>
    <row r="30" spans="3:19">
      <c r="L30">
        <v>19</v>
      </c>
      <c r="M30" t="str">
        <f t="shared" si="4"/>
        <v/>
      </c>
      <c r="N30" t="str">
        <f t="shared" si="8"/>
        <v/>
      </c>
      <c r="O30" t="str">
        <f t="shared" si="5"/>
        <v/>
      </c>
      <c r="R30" t="str">
        <f t="shared" si="7"/>
        <v/>
      </c>
      <c r="S30" t="str">
        <f t="shared" si="6"/>
        <v/>
      </c>
    </row>
    <row r="31" spans="3:19">
      <c r="L31">
        <v>20</v>
      </c>
      <c r="M31" t="str">
        <f t="shared" si="4"/>
        <v/>
      </c>
      <c r="N31" t="str">
        <f t="shared" si="8"/>
        <v/>
      </c>
      <c r="O31" t="str">
        <f t="shared" si="5"/>
        <v/>
      </c>
      <c r="R31" t="str">
        <f t="shared" si="7"/>
        <v/>
      </c>
      <c r="S31" t="str">
        <f t="shared" si="6"/>
        <v/>
      </c>
    </row>
    <row r="32" spans="3:19">
      <c r="L32">
        <v>21</v>
      </c>
      <c r="M32" t="str">
        <f t="shared" si="4"/>
        <v/>
      </c>
      <c r="N32" t="str">
        <f t="shared" si="8"/>
        <v/>
      </c>
      <c r="O32" t="str">
        <f t="shared" si="5"/>
        <v/>
      </c>
      <c r="R32" t="str">
        <f t="shared" si="7"/>
        <v/>
      </c>
      <c r="S32" t="str">
        <f t="shared" si="6"/>
        <v/>
      </c>
    </row>
    <row r="33" spans="6:37">
      <c r="L33">
        <v>22</v>
      </c>
      <c r="M33" t="str">
        <f t="shared" si="4"/>
        <v/>
      </c>
      <c r="N33" t="str">
        <f t="shared" si="8"/>
        <v/>
      </c>
      <c r="O33" t="str">
        <f t="shared" si="5"/>
        <v/>
      </c>
      <c r="R33" t="str">
        <f t="shared" si="7"/>
        <v/>
      </c>
      <c r="S33" t="str">
        <f t="shared" si="6"/>
        <v/>
      </c>
    </row>
    <row r="34" spans="6:37">
      <c r="L34">
        <v>23</v>
      </c>
      <c r="M34" t="str">
        <f t="shared" si="4"/>
        <v/>
      </c>
      <c r="N34" t="str">
        <f t="shared" si="8"/>
        <v/>
      </c>
      <c r="O34" t="str">
        <f t="shared" si="5"/>
        <v/>
      </c>
      <c r="R34" t="str">
        <f t="shared" si="7"/>
        <v/>
      </c>
      <c r="S34" t="str">
        <f t="shared" si="6"/>
        <v/>
      </c>
    </row>
    <row r="35" spans="6:37">
      <c r="L35">
        <v>24</v>
      </c>
      <c r="M35" t="str">
        <f t="shared" si="4"/>
        <v/>
      </c>
      <c r="N35" t="str">
        <f t="shared" si="8"/>
        <v/>
      </c>
      <c r="O35" t="str">
        <f t="shared" si="5"/>
        <v/>
      </c>
      <c r="R35" t="str">
        <f t="shared" si="7"/>
        <v/>
      </c>
      <c r="S35" t="str">
        <f t="shared" si="6"/>
        <v/>
      </c>
    </row>
    <row r="36" spans="6:37">
      <c r="L36">
        <v>25</v>
      </c>
      <c r="M36" t="str">
        <f t="shared" si="4"/>
        <v/>
      </c>
      <c r="N36" t="str">
        <f t="shared" si="8"/>
        <v/>
      </c>
      <c r="O36" t="str">
        <f t="shared" si="5"/>
        <v/>
      </c>
      <c r="R36" t="str">
        <f t="shared" si="7"/>
        <v/>
      </c>
      <c r="S36" t="str">
        <f t="shared" si="6"/>
        <v/>
      </c>
    </row>
    <row r="38" spans="6:37">
      <c r="I38" t="s">
        <v>118</v>
      </c>
      <c r="J38" t="s">
        <v>230</v>
      </c>
      <c r="N38" s="37"/>
    </row>
    <row r="39" spans="6:37">
      <c r="F39">
        <v>1</v>
      </c>
      <c r="G39">
        <f>IF(F39&lt;$D$11*2,F39,IF(F39=$D$11*2,F39,""))</f>
        <v>1</v>
      </c>
      <c r="H39">
        <f>IF(G39="",0,1)</f>
        <v>1</v>
      </c>
      <c r="I39">
        <f>0*H39</f>
        <v>0</v>
      </c>
      <c r="J39">
        <v>0</v>
      </c>
      <c r="L39">
        <f>I39+$D$9+$D$23</f>
        <v>1200</v>
      </c>
      <c r="M39">
        <f>J39</f>
        <v>0</v>
      </c>
    </row>
    <row r="40" spans="6:37">
      <c r="F40">
        <v>2</v>
      </c>
      <c r="G40">
        <f t="shared" ref="G40:G59" si="9">IF(F40&lt;$D$11*2,F40,IF(F40=$D$11*2,F40,""))</f>
        <v>2</v>
      </c>
      <c r="H40">
        <f t="shared" ref="H40:H60" si="10">IF(G40="",0,1)</f>
        <v>1</v>
      </c>
      <c r="I40">
        <f>$D$9*H40</f>
        <v>1000</v>
      </c>
      <c r="J40">
        <v>0</v>
      </c>
      <c r="L40">
        <f t="shared" ref="L40:L62" si="11">I40+$D$9+$D$23</f>
        <v>2200</v>
      </c>
      <c r="M40">
        <f t="shared" ref="M40:M62" si="12">J40</f>
        <v>0</v>
      </c>
    </row>
    <row r="41" spans="6:37">
      <c r="F41">
        <v>3</v>
      </c>
      <c r="G41">
        <f t="shared" si="9"/>
        <v>3</v>
      </c>
      <c r="H41">
        <f t="shared" si="10"/>
        <v>1</v>
      </c>
      <c r="I41">
        <f>0*H41</f>
        <v>0</v>
      </c>
      <c r="J41">
        <f>I11</f>
        <v>40</v>
      </c>
      <c r="L41">
        <f t="shared" si="11"/>
        <v>1200</v>
      </c>
      <c r="M41">
        <f t="shared" si="12"/>
        <v>40</v>
      </c>
    </row>
    <row r="42" spans="6:37">
      <c r="F42">
        <v>4</v>
      </c>
      <c r="G42">
        <f t="shared" si="9"/>
        <v>4</v>
      </c>
      <c r="H42">
        <f t="shared" si="10"/>
        <v>1</v>
      </c>
      <c r="I42">
        <f>$D$9*H42</f>
        <v>1000</v>
      </c>
      <c r="J42">
        <f>I11</f>
        <v>40</v>
      </c>
      <c r="L42">
        <f t="shared" si="11"/>
        <v>2200</v>
      </c>
      <c r="M42">
        <f t="shared" si="12"/>
        <v>40</v>
      </c>
    </row>
    <row r="43" spans="6:37">
      <c r="F43">
        <v>5</v>
      </c>
      <c r="G43">
        <f t="shared" si="9"/>
        <v>5</v>
      </c>
      <c r="H43">
        <f t="shared" si="10"/>
        <v>1</v>
      </c>
      <c r="I43">
        <f>0*H43</f>
        <v>0</v>
      </c>
      <c r="J43">
        <f>J41+I12</f>
        <v>80</v>
      </c>
      <c r="L43">
        <f t="shared" si="11"/>
        <v>1200</v>
      </c>
      <c r="M43">
        <f t="shared" si="12"/>
        <v>80</v>
      </c>
    </row>
    <row r="44" spans="6:37">
      <c r="F44">
        <v>6</v>
      </c>
      <c r="G44">
        <f t="shared" si="9"/>
        <v>6</v>
      </c>
      <c r="H44">
        <f t="shared" si="10"/>
        <v>1</v>
      </c>
      <c r="I44">
        <f>$D$9*H44</f>
        <v>1000</v>
      </c>
      <c r="J44">
        <f>J42+I12</f>
        <v>80</v>
      </c>
      <c r="L44">
        <f t="shared" si="11"/>
        <v>2200</v>
      </c>
      <c r="M44">
        <f t="shared" si="12"/>
        <v>80</v>
      </c>
    </row>
    <row r="45" spans="6:37">
      <c r="F45">
        <v>7</v>
      </c>
      <c r="G45">
        <f t="shared" si="9"/>
        <v>7</v>
      </c>
      <c r="H45">
        <f t="shared" si="10"/>
        <v>1</v>
      </c>
      <c r="I45">
        <f>0*H45</f>
        <v>0</v>
      </c>
      <c r="J45">
        <f>J43+I13</f>
        <v>110</v>
      </c>
      <c r="L45">
        <f t="shared" si="11"/>
        <v>1200</v>
      </c>
      <c r="M45">
        <f t="shared" si="12"/>
        <v>110</v>
      </c>
      <c r="AJ45">
        <f>I65+CONCRETE!M14</f>
        <v>1020</v>
      </c>
      <c r="AK45">
        <f>D21+CONCRETE!M14</f>
        <v>20</v>
      </c>
    </row>
    <row r="46" spans="6:37">
      <c r="F46">
        <v>8</v>
      </c>
      <c r="G46">
        <f t="shared" si="9"/>
        <v>8</v>
      </c>
      <c r="H46">
        <f t="shared" si="10"/>
        <v>1</v>
      </c>
      <c r="I46">
        <f>$D$9*H46</f>
        <v>1000</v>
      </c>
      <c r="J46">
        <f>J44+I13</f>
        <v>110</v>
      </c>
      <c r="L46">
        <f t="shared" si="11"/>
        <v>2200</v>
      </c>
      <c r="M46">
        <f t="shared" si="12"/>
        <v>110</v>
      </c>
      <c r="AJ46">
        <f>I66+CONCRETE!M14</f>
        <v>1020</v>
      </c>
      <c r="AK46">
        <f>J66-CONCRETE!M14</f>
        <v>240</v>
      </c>
    </row>
    <row r="47" spans="6:37">
      <c r="F47">
        <v>9</v>
      </c>
      <c r="G47">
        <f t="shared" si="9"/>
        <v>9</v>
      </c>
      <c r="H47">
        <f t="shared" si="10"/>
        <v>1</v>
      </c>
      <c r="I47">
        <f>0*H47</f>
        <v>0</v>
      </c>
      <c r="J47">
        <f>J45+I14</f>
        <v>150</v>
      </c>
      <c r="L47">
        <f t="shared" si="11"/>
        <v>1200</v>
      </c>
      <c r="M47">
        <f t="shared" si="12"/>
        <v>150</v>
      </c>
      <c r="AJ47">
        <f>AJ46+D23-2*CONCRETE!M14</f>
        <v>1180</v>
      </c>
      <c r="AK47">
        <f>AK46</f>
        <v>240</v>
      </c>
    </row>
    <row r="48" spans="6:37">
      <c r="F48">
        <v>10</v>
      </c>
      <c r="G48">
        <f t="shared" si="9"/>
        <v>10</v>
      </c>
      <c r="H48">
        <f t="shared" si="10"/>
        <v>1</v>
      </c>
      <c r="I48">
        <f>$D$9*H48</f>
        <v>1000</v>
      </c>
      <c r="J48">
        <f>J46+I14</f>
        <v>150</v>
      </c>
      <c r="L48">
        <f t="shared" si="11"/>
        <v>2200</v>
      </c>
      <c r="M48">
        <f t="shared" si="12"/>
        <v>150</v>
      </c>
      <c r="AJ48">
        <f>AJ47</f>
        <v>1180</v>
      </c>
      <c r="AK48">
        <f>AK45</f>
        <v>20</v>
      </c>
    </row>
    <row r="49" spans="6:37">
      <c r="F49">
        <v>11</v>
      </c>
      <c r="G49">
        <f t="shared" si="9"/>
        <v>11</v>
      </c>
      <c r="H49">
        <f t="shared" si="10"/>
        <v>1</v>
      </c>
      <c r="I49">
        <f>0*H49</f>
        <v>0</v>
      </c>
      <c r="J49">
        <f>J47+I15</f>
        <v>180</v>
      </c>
      <c r="L49">
        <f t="shared" si="11"/>
        <v>1200</v>
      </c>
      <c r="M49">
        <f t="shared" si="12"/>
        <v>180</v>
      </c>
      <c r="AJ49">
        <f>AJ45</f>
        <v>1020</v>
      </c>
      <c r="AK49">
        <f>AK45</f>
        <v>20</v>
      </c>
    </row>
    <row r="50" spans="6:37">
      <c r="F50">
        <v>12</v>
      </c>
      <c r="G50">
        <f t="shared" si="9"/>
        <v>12</v>
      </c>
      <c r="H50">
        <f t="shared" si="10"/>
        <v>1</v>
      </c>
      <c r="I50">
        <f>$D$9*H50</f>
        <v>1000</v>
      </c>
      <c r="J50">
        <f>J48+I15</f>
        <v>180</v>
      </c>
      <c r="L50">
        <f t="shared" si="11"/>
        <v>2200</v>
      </c>
      <c r="M50">
        <f t="shared" si="12"/>
        <v>180</v>
      </c>
    </row>
    <row r="51" spans="6:37">
      <c r="F51">
        <v>13</v>
      </c>
      <c r="G51">
        <f t="shared" si="9"/>
        <v>13</v>
      </c>
      <c r="H51">
        <f t="shared" si="10"/>
        <v>1</v>
      </c>
      <c r="I51">
        <f>0*H51</f>
        <v>0</v>
      </c>
      <c r="J51">
        <f>J49+I16</f>
        <v>220</v>
      </c>
      <c r="L51">
        <f t="shared" si="11"/>
        <v>1200</v>
      </c>
      <c r="M51">
        <f t="shared" si="12"/>
        <v>220</v>
      </c>
    </row>
    <row r="52" spans="6:37">
      <c r="F52">
        <v>14</v>
      </c>
      <c r="G52">
        <f>IF(F52&lt;$D$11*2,F52,IF(F52=$D$11*2,F52,""))</f>
        <v>14</v>
      </c>
      <c r="H52">
        <f t="shared" si="10"/>
        <v>1</v>
      </c>
      <c r="I52">
        <f>$D$9*H52</f>
        <v>1000</v>
      </c>
      <c r="J52">
        <f>J50+I16</f>
        <v>220</v>
      </c>
      <c r="L52">
        <f t="shared" si="11"/>
        <v>2200</v>
      </c>
      <c r="M52">
        <f t="shared" si="12"/>
        <v>220</v>
      </c>
      <c r="AJ52">
        <f>I65+GEOMETRY!H58+GEOMETRY!H53/2</f>
        <v>1028</v>
      </c>
      <c r="AK52">
        <f>GEOMETRY!H66</f>
        <v>24</v>
      </c>
    </row>
    <row r="53" spans="6:37">
      <c r="F53">
        <v>15</v>
      </c>
      <c r="G53" t="str">
        <f t="shared" si="9"/>
        <v/>
      </c>
      <c r="H53">
        <f t="shared" si="10"/>
        <v>0</v>
      </c>
      <c r="I53">
        <f>0*H53</f>
        <v>0</v>
      </c>
      <c r="J53">
        <f>J51+I17</f>
        <v>260</v>
      </c>
      <c r="L53">
        <f t="shared" si="11"/>
        <v>1200</v>
      </c>
      <c r="M53">
        <f t="shared" si="12"/>
        <v>260</v>
      </c>
      <c r="AJ53">
        <f>AJ52</f>
        <v>1028</v>
      </c>
      <c r="AK53">
        <f>D10-GEOMETRY!H58+D211</f>
        <v>236</v>
      </c>
    </row>
    <row r="54" spans="6:37">
      <c r="F54">
        <v>16</v>
      </c>
      <c r="G54" t="str">
        <f t="shared" si="9"/>
        <v/>
      </c>
      <c r="H54">
        <f t="shared" si="10"/>
        <v>0</v>
      </c>
      <c r="I54">
        <f>$D$9*H54</f>
        <v>0</v>
      </c>
      <c r="J54">
        <f>J52+I17</f>
        <v>260</v>
      </c>
      <c r="L54">
        <f t="shared" si="11"/>
        <v>1200</v>
      </c>
      <c r="M54">
        <f t="shared" si="12"/>
        <v>260</v>
      </c>
      <c r="AJ54">
        <f>I67-GEOMETRY!H58-GEOMETRY!H53/2</f>
        <v>1172</v>
      </c>
      <c r="AK54">
        <f>AK52</f>
        <v>24</v>
      </c>
    </row>
    <row r="55" spans="6:37">
      <c r="F55">
        <v>17</v>
      </c>
      <c r="G55" t="str">
        <f t="shared" si="9"/>
        <v/>
      </c>
      <c r="H55">
        <f t="shared" si="10"/>
        <v>0</v>
      </c>
      <c r="I55">
        <f>0*H55</f>
        <v>0</v>
      </c>
      <c r="J55" t="e">
        <f>J53+I18</f>
        <v>#VALUE!</v>
      </c>
      <c r="L55">
        <f t="shared" si="11"/>
        <v>1200</v>
      </c>
      <c r="M55" t="e">
        <f t="shared" si="12"/>
        <v>#VALUE!</v>
      </c>
      <c r="AJ55">
        <f>AJ54</f>
        <v>1172</v>
      </c>
      <c r="AK55">
        <f>AK53</f>
        <v>236</v>
      </c>
    </row>
    <row r="56" spans="6:37">
      <c r="F56">
        <v>18</v>
      </c>
      <c r="G56" t="str">
        <f t="shared" si="9"/>
        <v/>
      </c>
      <c r="H56">
        <f t="shared" si="10"/>
        <v>0</v>
      </c>
      <c r="I56">
        <f>$D$9*H56</f>
        <v>0</v>
      </c>
      <c r="J56" t="e">
        <f>J54+I18</f>
        <v>#VALUE!</v>
      </c>
      <c r="L56">
        <f t="shared" si="11"/>
        <v>1200</v>
      </c>
      <c r="M56" t="e">
        <f t="shared" si="12"/>
        <v>#VALUE!</v>
      </c>
    </row>
    <row r="57" spans="6:37">
      <c r="F57">
        <v>19</v>
      </c>
      <c r="G57" t="str">
        <f t="shared" si="9"/>
        <v/>
      </c>
      <c r="H57">
        <f t="shared" si="10"/>
        <v>0</v>
      </c>
      <c r="I57">
        <f>0*H57</f>
        <v>0</v>
      </c>
      <c r="J57" t="e">
        <f>J55+I19</f>
        <v>#VALUE!</v>
      </c>
      <c r="L57">
        <f t="shared" si="11"/>
        <v>1200</v>
      </c>
      <c r="M57" t="e">
        <f t="shared" si="12"/>
        <v>#VALUE!</v>
      </c>
    </row>
    <row r="58" spans="6:37">
      <c r="F58">
        <v>20</v>
      </c>
      <c r="G58" t="str">
        <f t="shared" si="9"/>
        <v/>
      </c>
      <c r="H58">
        <f t="shared" si="10"/>
        <v>0</v>
      </c>
      <c r="I58">
        <f>$D$9*H58</f>
        <v>0</v>
      </c>
      <c r="J58" t="e">
        <f>J56+I19</f>
        <v>#VALUE!</v>
      </c>
      <c r="L58">
        <f t="shared" si="11"/>
        <v>1200</v>
      </c>
      <c r="M58" t="e">
        <f t="shared" si="12"/>
        <v>#VALUE!</v>
      </c>
    </row>
    <row r="59" spans="6:37">
      <c r="F59">
        <v>21</v>
      </c>
      <c r="G59" t="str">
        <f t="shared" si="9"/>
        <v/>
      </c>
      <c r="H59">
        <f t="shared" si="10"/>
        <v>0</v>
      </c>
      <c r="I59">
        <f>0*H59</f>
        <v>0</v>
      </c>
      <c r="J59" t="e">
        <f>J57+I20</f>
        <v>#VALUE!</v>
      </c>
      <c r="L59">
        <f t="shared" si="11"/>
        <v>1200</v>
      </c>
      <c r="M59" t="e">
        <f t="shared" si="12"/>
        <v>#VALUE!</v>
      </c>
    </row>
    <row r="60" spans="6:37">
      <c r="F60">
        <v>22</v>
      </c>
      <c r="G60" t="str">
        <f>IF(F60&lt;$D$11*2,F60,IF(F60=$D$11*2,F60,""))</f>
        <v/>
      </c>
      <c r="H60">
        <f t="shared" si="10"/>
        <v>0</v>
      </c>
      <c r="I60">
        <f>$D$9*H60</f>
        <v>0</v>
      </c>
      <c r="J60" t="e">
        <f>J58+I20</f>
        <v>#VALUE!</v>
      </c>
      <c r="L60">
        <f t="shared" si="11"/>
        <v>1200</v>
      </c>
      <c r="M60" t="e">
        <f t="shared" si="12"/>
        <v>#VALUE!</v>
      </c>
    </row>
    <row r="61" spans="6:37">
      <c r="F61">
        <v>23</v>
      </c>
      <c r="I61">
        <v>0</v>
      </c>
      <c r="J61">
        <f>D10</f>
        <v>260</v>
      </c>
      <c r="L61">
        <f>I61+$D$9+$D$23</f>
        <v>1200</v>
      </c>
      <c r="M61">
        <f t="shared" si="12"/>
        <v>260</v>
      </c>
    </row>
    <row r="62" spans="6:37">
      <c r="F62">
        <v>24</v>
      </c>
      <c r="I62">
        <f>D9</f>
        <v>1000</v>
      </c>
      <c r="J62">
        <f>D10</f>
        <v>260</v>
      </c>
      <c r="L62">
        <f t="shared" si="11"/>
        <v>2200</v>
      </c>
      <c r="M62">
        <f t="shared" si="12"/>
        <v>260</v>
      </c>
    </row>
    <row r="65" spans="6:14">
      <c r="I65">
        <f>I62</f>
        <v>1000</v>
      </c>
      <c r="J65">
        <f>D21</f>
        <v>0</v>
      </c>
    </row>
    <row r="66" spans="6:14">
      <c r="I66">
        <f>I65</f>
        <v>1000</v>
      </c>
      <c r="J66">
        <f>J62</f>
        <v>260</v>
      </c>
    </row>
    <row r="67" spans="6:14">
      <c r="I67">
        <f>L61</f>
        <v>1200</v>
      </c>
      <c r="J67">
        <f>D21</f>
        <v>0</v>
      </c>
    </row>
    <row r="68" spans="6:14">
      <c r="I68">
        <f>L61</f>
        <v>1200</v>
      </c>
      <c r="J68">
        <f>M61</f>
        <v>260</v>
      </c>
    </row>
    <row r="73" spans="6:14">
      <c r="F73" t="s">
        <v>323</v>
      </c>
      <c r="I73">
        <f>I62-GEOMETRY!H74</f>
        <v>730</v>
      </c>
      <c r="J73">
        <f>D16</f>
        <v>45</v>
      </c>
      <c r="M73">
        <f>L39-GEOMETRY!H73</f>
        <v>1020</v>
      </c>
      <c r="N73">
        <f>J73+10</f>
        <v>55</v>
      </c>
    </row>
    <row r="74" spans="6:14">
      <c r="I74">
        <f>I73+GEOMETRY!H39</f>
        <v>1180</v>
      </c>
      <c r="J74">
        <f>D16</f>
        <v>45</v>
      </c>
      <c r="M74">
        <f>L39+GEOMETRY!H74</f>
        <v>1470</v>
      </c>
      <c r="N74">
        <f>J74+10</f>
        <v>55</v>
      </c>
    </row>
    <row r="77" spans="6:14">
      <c r="I77">
        <f>I73</f>
        <v>730</v>
      </c>
      <c r="J77">
        <f>D10-D16</f>
        <v>215</v>
      </c>
      <c r="M77">
        <f>M73</f>
        <v>1020</v>
      </c>
      <c r="N77">
        <f>D10-D16+10</f>
        <v>225</v>
      </c>
    </row>
    <row r="78" spans="6:14">
      <c r="I78">
        <f>I74</f>
        <v>1180</v>
      </c>
      <c r="J78">
        <f>D10-D16</f>
        <v>215</v>
      </c>
      <c r="M78">
        <f>M74</f>
        <v>1470</v>
      </c>
      <c r="N78">
        <f>D10-D16+10</f>
        <v>225</v>
      </c>
    </row>
    <row r="81" spans="6:10">
      <c r="F81" t="s">
        <v>324</v>
      </c>
    </row>
    <row r="82" spans="6:10">
      <c r="I82">
        <f>I62-(D22-D23)/2</f>
        <v>970</v>
      </c>
      <c r="J82">
        <f>D21</f>
        <v>0</v>
      </c>
    </row>
    <row r="83" spans="6:10">
      <c r="I83">
        <f>I62+D23+(D22-D23)/2</f>
        <v>1230</v>
      </c>
      <c r="J83">
        <f>J82</f>
        <v>0</v>
      </c>
    </row>
    <row r="85" spans="6:10">
      <c r="I85">
        <f>I82</f>
        <v>970</v>
      </c>
      <c r="J85">
        <f>0</f>
        <v>0</v>
      </c>
    </row>
    <row r="86" spans="6:10">
      <c r="I86">
        <f>I83</f>
        <v>1230</v>
      </c>
      <c r="J86">
        <f>0</f>
        <v>0</v>
      </c>
    </row>
    <row r="88" spans="6:10">
      <c r="I88">
        <f>I82</f>
        <v>970</v>
      </c>
      <c r="J88">
        <v>0</v>
      </c>
    </row>
    <row r="89" spans="6:10">
      <c r="I89">
        <f>I88</f>
        <v>970</v>
      </c>
      <c r="J89">
        <f>J83</f>
        <v>0</v>
      </c>
    </row>
    <row r="91" spans="6:10">
      <c r="I91">
        <f>I83</f>
        <v>1230</v>
      </c>
      <c r="J91">
        <f>0</f>
        <v>0</v>
      </c>
    </row>
    <row r="92" spans="6:10">
      <c r="I92">
        <f>I83</f>
        <v>1230</v>
      </c>
      <c r="J92">
        <f>J89</f>
        <v>0</v>
      </c>
    </row>
    <row r="95" spans="6:10">
      <c r="F95" t="s">
        <v>327</v>
      </c>
      <c r="I95">
        <f>I65</f>
        <v>1000</v>
      </c>
      <c r="J95">
        <f>D10</f>
        <v>260</v>
      </c>
    </row>
    <row r="96" spans="6:10">
      <c r="I96">
        <f>D9+D23</f>
        <v>1200</v>
      </c>
      <c r="J96">
        <f>J95</f>
        <v>260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3107-5948-471F-951A-10C515F48FE9}">
  <sheetPr codeName="Foglio9">
    <pageSetUpPr fitToPage="1"/>
  </sheetPr>
  <dimension ref="A366:T371"/>
  <sheetViews>
    <sheetView showGridLines="0" showRowColHeaders="0" zoomScaleNormal="100" workbookViewId="0">
      <selection activeCell="K8" sqref="K8"/>
    </sheetView>
  </sheetViews>
  <sheetFormatPr baseColWidth="10" defaultColWidth="9" defaultRowHeight="12.75"/>
  <cols>
    <col min="20" max="20" width="2.25" customWidth="1"/>
  </cols>
  <sheetData>
    <row r="366" spans="1:1" ht="15">
      <c r="A366" s="185" t="str">
        <f>traduzioni!A180</f>
        <v>NOTES</v>
      </c>
    </row>
    <row r="367" spans="1:1" ht="15" customHeight="1">
      <c r="A367" t="str">
        <f>traduzioni!A181</f>
        <v>Avant la construction, tous les calculs doivent être vérifiés et approuvés par le concepteur responsable.</v>
      </c>
    </row>
    <row r="368" spans="1:1" ht="15" customHeight="1">
      <c r="A368" t="str">
        <f>traduzioni!A182</f>
        <v>Les valeurs de résistance mécanique et la géométrie se réfèrent à la certification du produit.</v>
      </c>
    </row>
    <row r="369" spans="1:20" ht="15" customHeight="1">
      <c r="A369" t="str">
        <f>traduzioni!A183</f>
        <v>La vérification de la résistance du système côté ancrage au béton doit être effectuée séparément conformément à l’ETA-22/0806 - Annexe E1.</v>
      </c>
    </row>
    <row r="370" spans="1:20" ht="30" customHeight="1">
      <c r="A370" s="238" t="str">
        <f>traduzioni!A184</f>
        <v>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v>
      </c>
      <c r="B370" s="238"/>
      <c r="C370" s="238"/>
      <c r="D370" s="238"/>
      <c r="E370" s="238"/>
      <c r="F370" s="238"/>
      <c r="G370" s="238"/>
      <c r="H370" s="238"/>
      <c r="I370" s="238"/>
      <c r="J370" s="238"/>
      <c r="K370" s="238"/>
      <c r="L370" s="238"/>
      <c r="M370" s="238"/>
      <c r="N370" s="238"/>
      <c r="O370" s="238"/>
      <c r="P370" s="238"/>
      <c r="Q370" s="238"/>
      <c r="R370" s="238"/>
      <c r="S370" s="238"/>
      <c r="T370" s="238"/>
    </row>
    <row r="371" spans="1:20" ht="80.099999999999994" customHeight="1">
      <c r="A371" s="238" t="str">
        <f>traduzioni!A185</f>
        <v>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v>
      </c>
      <c r="B371" s="238"/>
      <c r="C371" s="238"/>
      <c r="D371" s="238"/>
      <c r="E371" s="238"/>
      <c r="F371" s="238"/>
      <c r="G371" s="238"/>
      <c r="H371" s="238"/>
      <c r="I371" s="238"/>
      <c r="J371" s="238"/>
      <c r="K371" s="238"/>
      <c r="L371" s="238"/>
      <c r="M371" s="238"/>
      <c r="N371" s="238"/>
      <c r="O371" s="238"/>
      <c r="P371" s="238"/>
      <c r="Q371" s="238"/>
      <c r="R371" s="238"/>
      <c r="S371" s="238"/>
      <c r="T371" s="238"/>
    </row>
  </sheetData>
  <sheetProtection algorithmName="SHA-512" hashValue="NC4VivHLstfrWfkB/YlMjau0JGqo+e2D3rZBpUcJOH5MwqEgaiy2dv+u6a4ZHrs9BbVzux83z9z1fP2GT+DIVQ==" saltValue="q05tysXFcN69VODNlj6dfw==" spinCount="100000" sheet="1" objects="1" scenarios="1" selectLockedCells="1"/>
  <mergeCells count="2">
    <mergeCell ref="A370:T370"/>
    <mergeCell ref="A371:T371"/>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47B8-E3DE-4F72-B1A6-05FBB0E882AC}">
  <sheetPr codeName="Foglio11"/>
  <dimension ref="A1:K63"/>
  <sheetViews>
    <sheetView showGridLines="0" showRowColHeaders="0" topLeftCell="A38" zoomScaleNormal="100" workbookViewId="0">
      <selection activeCell="K8" sqref="K8"/>
    </sheetView>
  </sheetViews>
  <sheetFormatPr baseColWidth="10" defaultColWidth="0" defaultRowHeight="12.75" zeroHeight="1"/>
  <cols>
    <col min="1" max="2" width="5.625" customWidth="1"/>
    <col min="3" max="3" width="18.625" customWidth="1"/>
    <col min="4" max="4" width="78.625" customWidth="1"/>
    <col min="5" max="5" width="18.625" customWidth="1"/>
    <col min="6" max="6" width="5.625" customWidth="1"/>
  </cols>
  <sheetData>
    <row r="1" spans="1:11">
      <c r="A1" s="157"/>
      <c r="B1" s="157"/>
      <c r="C1" s="157"/>
      <c r="D1" s="157"/>
      <c r="E1" s="157"/>
      <c r="F1" s="157"/>
    </row>
    <row r="2" spans="1:11" ht="12.95" customHeight="1">
      <c r="A2" s="157"/>
      <c r="B2" s="157"/>
      <c r="C2" s="157"/>
      <c r="D2" s="244" t="s">
        <v>1431</v>
      </c>
      <c r="E2" s="158" t="str">
        <f>traduzioni!A216</f>
        <v>Language</v>
      </c>
      <c r="F2" s="157"/>
    </row>
    <row r="3" spans="1:11">
      <c r="A3" s="157"/>
      <c r="B3" s="157"/>
      <c r="C3" s="157"/>
      <c r="D3" s="244"/>
      <c r="E3" s="245" t="s">
        <v>388</v>
      </c>
      <c r="F3" s="157"/>
    </row>
    <row r="4" spans="1:11">
      <c r="A4" s="157"/>
      <c r="B4" s="157"/>
      <c r="C4" s="157"/>
      <c r="D4" s="244"/>
      <c r="E4" s="245"/>
      <c r="F4" s="157"/>
    </row>
    <row r="5" spans="1:11">
      <c r="A5" s="157"/>
      <c r="B5" s="157"/>
      <c r="C5" s="157"/>
      <c r="D5" s="157"/>
      <c r="E5" s="157"/>
      <c r="F5" s="157"/>
    </row>
    <row r="6" spans="1:11" ht="15.75">
      <c r="A6" s="157"/>
      <c r="B6" s="157"/>
      <c r="C6" s="157"/>
      <c r="D6" s="159" t="s">
        <v>480</v>
      </c>
      <c r="E6" s="157"/>
      <c r="F6" s="157"/>
    </row>
    <row r="7" spans="1:11">
      <c r="A7" s="157"/>
      <c r="B7" s="157"/>
      <c r="C7" s="243" t="str">
        <f>traduzioni!A190</f>
        <v>GENERAL TERMS AND CONDITIONS OF THE LICENSE AGREEMENT FOR THE USE OF THE SPREADSHEET "TC_FUSION_CALCULATOR"</v>
      </c>
      <c r="D7" s="243"/>
      <c r="E7" s="243"/>
      <c r="F7" s="157"/>
    </row>
    <row r="8" spans="1:11" ht="18" customHeight="1">
      <c r="A8" s="157"/>
      <c r="B8" s="157"/>
      <c r="C8" s="243"/>
      <c r="D8" s="243"/>
      <c r="E8" s="243"/>
      <c r="F8" s="157"/>
    </row>
    <row r="9" spans="1:11" ht="18" customHeight="1">
      <c r="A9" s="157"/>
      <c r="B9" s="157"/>
      <c r="C9" s="243"/>
      <c r="D9" s="243"/>
      <c r="E9" s="243"/>
      <c r="F9" s="157"/>
    </row>
    <row r="10" spans="1:11">
      <c r="A10" s="157"/>
      <c r="B10" s="157"/>
      <c r="C10" s="157"/>
      <c r="D10" s="157"/>
      <c r="E10" s="157"/>
      <c r="F10" s="157"/>
    </row>
    <row r="11" spans="1:11">
      <c r="A11" s="68"/>
      <c r="B11" s="68"/>
      <c r="C11" s="68"/>
      <c r="D11" s="68"/>
      <c r="E11" s="68"/>
      <c r="F11" s="68"/>
    </row>
    <row r="12" spans="1:11" ht="14.25">
      <c r="A12" s="68"/>
      <c r="B12" s="160" t="str">
        <f>traduzioni!A191</f>
        <v>1. SUBJECT</v>
      </c>
      <c r="C12" s="68"/>
      <c r="D12" s="68"/>
      <c r="E12" s="68"/>
      <c r="F12" s="68"/>
    </row>
    <row r="13" spans="1:11">
      <c r="A13" s="68"/>
      <c r="B13" s="68"/>
      <c r="C13" s="161"/>
      <c r="D13" s="161"/>
      <c r="E13" s="161"/>
      <c r="F13" s="68"/>
    </row>
    <row r="14" spans="1:11" ht="200.1" customHeight="1">
      <c r="A14" s="68"/>
      <c r="B14" s="68"/>
      <c r="C14" s="241" t="str">
        <f>traduzioni!A192</f>
        <v>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v>
      </c>
      <c r="D14" s="241"/>
      <c r="E14" s="241"/>
      <c r="F14" s="68"/>
      <c r="K14" s="155"/>
    </row>
    <row r="15" spans="1:11">
      <c r="A15" s="68"/>
      <c r="B15" s="68"/>
      <c r="C15" s="163"/>
      <c r="D15" s="161"/>
      <c r="E15" s="161"/>
      <c r="F15" s="68"/>
    </row>
    <row r="16" spans="1:11" ht="14.25">
      <c r="A16" s="68"/>
      <c r="B16" s="160" t="str">
        <f>traduzioni!A193</f>
        <v>2. TECHNICAL-STANDARDS REFERENCES</v>
      </c>
      <c r="C16" s="163"/>
      <c r="D16" s="161"/>
      <c r="E16" s="161"/>
      <c r="F16" s="68"/>
    </row>
    <row r="17" spans="1:9">
      <c r="A17" s="68"/>
      <c r="B17" s="68"/>
      <c r="C17" s="163"/>
      <c r="D17" s="161"/>
      <c r="E17" s="161"/>
      <c r="F17" s="68"/>
    </row>
    <row r="18" spans="1:9" ht="39.950000000000003" customHeight="1">
      <c r="A18" s="68"/>
      <c r="B18" s="164"/>
      <c r="C18" s="242" t="str">
        <f>traduzioni!A194</f>
        <v>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v>
      </c>
      <c r="D18" s="242"/>
      <c r="E18" s="242"/>
      <c r="F18" s="68"/>
      <c r="I18" s="156"/>
    </row>
    <row r="19" spans="1:9">
      <c r="A19" s="68"/>
      <c r="B19" s="68"/>
      <c r="C19" s="162"/>
      <c r="D19" s="161"/>
      <c r="E19" s="161"/>
      <c r="F19" s="68"/>
    </row>
    <row r="20" spans="1:9" ht="14.25">
      <c r="A20" s="68"/>
      <c r="B20" s="160" t="str">
        <f>traduzioni!A195</f>
        <v>3. RB RIGHTS AND OBLIGATIONS</v>
      </c>
      <c r="C20" s="163"/>
      <c r="D20" s="161"/>
      <c r="E20" s="161"/>
      <c r="F20" s="68"/>
    </row>
    <row r="21" spans="1:9">
      <c r="A21" s="68"/>
      <c r="B21" s="68"/>
      <c r="C21" s="163"/>
      <c r="D21" s="161"/>
      <c r="E21" s="161"/>
      <c r="F21" s="68"/>
    </row>
    <row r="22" spans="1:9" ht="153" customHeight="1">
      <c r="A22" s="68"/>
      <c r="B22" s="68"/>
      <c r="C22" s="241" t="str">
        <f>traduzioni!A196</f>
        <v>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v>
      </c>
      <c r="D22" s="241"/>
      <c r="E22" s="241"/>
      <c r="F22" s="68"/>
    </row>
    <row r="23" spans="1:9">
      <c r="A23" s="68"/>
      <c r="B23" s="68"/>
      <c r="C23" s="162"/>
      <c r="D23" s="161"/>
      <c r="E23" s="161"/>
      <c r="F23" s="68"/>
    </row>
    <row r="24" spans="1:9" ht="14.25">
      <c r="A24" s="68"/>
      <c r="B24" s="160" t="str">
        <f>traduzioni!A197</f>
        <v>4. USER RIGHTS AND OBLIGATIONS</v>
      </c>
      <c r="C24" s="161"/>
      <c r="D24" s="161"/>
      <c r="E24" s="161"/>
      <c r="F24" s="68"/>
    </row>
    <row r="25" spans="1:9">
      <c r="A25" s="68"/>
      <c r="B25" s="68"/>
      <c r="C25" s="162"/>
      <c r="D25" s="161"/>
      <c r="E25" s="161"/>
      <c r="F25" s="68"/>
    </row>
    <row r="26" spans="1:9" ht="306" customHeight="1">
      <c r="A26" s="68"/>
      <c r="B26" s="68"/>
      <c r="C26" s="241" t="str">
        <f>traduzioni!A198</f>
        <v>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v>
      </c>
      <c r="D26" s="241"/>
      <c r="E26" s="241"/>
      <c r="F26" s="68"/>
    </row>
    <row r="27" spans="1:9">
      <c r="A27" s="68"/>
      <c r="B27" s="68"/>
      <c r="C27" s="162"/>
      <c r="D27" s="161"/>
      <c r="E27" s="161"/>
      <c r="F27" s="68"/>
    </row>
    <row r="28" spans="1:9" ht="14.25">
      <c r="A28" s="68"/>
      <c r="B28" s="160" t="str">
        <f>traduzioni!A199</f>
        <v>5. COPYRIGHTS</v>
      </c>
      <c r="C28" s="161"/>
      <c r="D28" s="161"/>
      <c r="E28" s="161"/>
      <c r="F28" s="68"/>
    </row>
    <row r="29" spans="1:9">
      <c r="A29" s="68"/>
      <c r="B29" s="68"/>
      <c r="C29" s="162"/>
      <c r="D29" s="161"/>
      <c r="E29" s="161"/>
      <c r="F29" s="68"/>
    </row>
    <row r="30" spans="1:9" ht="63.95" customHeight="1">
      <c r="A30" s="68"/>
      <c r="B30" s="68"/>
      <c r="C30" s="241" t="str">
        <f>traduzioni!A200</f>
        <v>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v>
      </c>
      <c r="D30" s="241"/>
      <c r="E30" s="241"/>
      <c r="F30" s="68"/>
    </row>
    <row r="31" spans="1:9">
      <c r="A31" s="68"/>
      <c r="B31" s="68"/>
      <c r="C31" s="162"/>
      <c r="D31" s="161"/>
      <c r="E31" s="161"/>
      <c r="F31" s="68"/>
    </row>
    <row r="32" spans="1:9" ht="14.25">
      <c r="A32" s="68"/>
      <c r="B32" s="160" t="str">
        <f>traduzioni!A201</f>
        <v>6. DURATION, WITHDRAWAL AND TERMINATION</v>
      </c>
      <c r="C32" s="161"/>
      <c r="D32" s="161"/>
      <c r="E32" s="161"/>
      <c r="F32" s="68"/>
    </row>
    <row r="33" spans="1:6">
      <c r="A33" s="68"/>
      <c r="B33" s="68"/>
      <c r="C33" s="162"/>
      <c r="D33" s="161"/>
      <c r="E33" s="161"/>
      <c r="F33" s="68"/>
    </row>
    <row r="34" spans="1:6" ht="102" customHeight="1">
      <c r="A34" s="68"/>
      <c r="B34" s="68"/>
      <c r="C34" s="241" t="str">
        <f>traduzioni!A202</f>
        <v>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v>
      </c>
      <c r="D34" s="241"/>
      <c r="E34" s="241"/>
      <c r="F34" s="68"/>
    </row>
    <row r="35" spans="1:6">
      <c r="A35" s="68"/>
      <c r="B35" s="68"/>
      <c r="C35" s="162"/>
      <c r="D35" s="161"/>
      <c r="E35" s="161"/>
      <c r="F35" s="68"/>
    </row>
    <row r="36" spans="1:6" ht="14.25">
      <c r="A36" s="68"/>
      <c r="B36" s="160" t="str">
        <f>traduzioni!A203</f>
        <v>7. RESPONSIBILITY</v>
      </c>
      <c r="C36" s="161"/>
      <c r="D36" s="161"/>
      <c r="E36" s="161"/>
      <c r="F36" s="68"/>
    </row>
    <row r="37" spans="1:6">
      <c r="A37" s="68"/>
      <c r="B37" s="68"/>
      <c r="C37" s="162"/>
      <c r="D37" s="161"/>
      <c r="E37" s="161"/>
      <c r="F37" s="68"/>
    </row>
    <row r="38" spans="1:6" ht="280.5" customHeight="1">
      <c r="A38" s="68"/>
      <c r="B38" s="68"/>
      <c r="C38" s="241" t="str">
        <f>traduzioni!A204</f>
        <v>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v>
      </c>
      <c r="D38" s="241"/>
      <c r="E38" s="241"/>
      <c r="F38" s="68"/>
    </row>
    <row r="39" spans="1:6">
      <c r="A39" s="68"/>
      <c r="B39" s="68"/>
      <c r="C39" s="162"/>
      <c r="D39" s="161"/>
      <c r="E39" s="161"/>
      <c r="F39" s="68"/>
    </row>
    <row r="40" spans="1:6" ht="14.25">
      <c r="A40" s="68"/>
      <c r="B40" s="160" t="str">
        <f>traduzioni!A205</f>
        <v>8. REFUND</v>
      </c>
      <c r="C40" s="161"/>
      <c r="D40" s="161"/>
      <c r="E40" s="161"/>
      <c r="F40" s="68"/>
    </row>
    <row r="41" spans="1:6">
      <c r="A41" s="68"/>
      <c r="B41" s="68"/>
      <c r="C41" s="162"/>
      <c r="D41" s="161"/>
      <c r="E41" s="161"/>
      <c r="F41" s="68"/>
    </row>
    <row r="42" spans="1:6" ht="51" customHeight="1">
      <c r="A42" s="68"/>
      <c r="B42" s="68"/>
      <c r="C42" s="241" t="str">
        <f>traduzioni!A206</f>
        <v>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v>
      </c>
      <c r="D42" s="241"/>
      <c r="E42" s="241"/>
      <c r="F42" s="68"/>
    </row>
    <row r="43" spans="1:6">
      <c r="A43" s="68"/>
      <c r="B43" s="68"/>
      <c r="C43" s="162"/>
      <c r="D43" s="161"/>
      <c r="E43" s="161"/>
      <c r="F43" s="68"/>
    </row>
    <row r="44" spans="1:6" ht="14.25">
      <c r="A44" s="68"/>
      <c r="B44" s="160" t="str">
        <f>traduzioni!A207</f>
        <v>9. MISCELLANEOUS</v>
      </c>
      <c r="C44" s="161"/>
      <c r="D44" s="161"/>
      <c r="E44" s="161"/>
      <c r="F44" s="68"/>
    </row>
    <row r="45" spans="1:6">
      <c r="A45" s="68"/>
      <c r="B45" s="68"/>
      <c r="C45" s="162"/>
      <c r="D45" s="161"/>
      <c r="E45" s="161"/>
      <c r="F45" s="68"/>
    </row>
    <row r="46" spans="1:6" ht="25.5" customHeight="1">
      <c r="A46" s="68"/>
      <c r="B46" s="68"/>
      <c r="C46" s="241" t="str">
        <f>traduzioni!A208</f>
        <v>These general conditions constitute the entire agreement between RB and the user regarding the subject matter and replace all previous, oral or written agreements, as well as any agreements between RB and the user.</v>
      </c>
      <c r="D46" s="241"/>
      <c r="E46" s="241"/>
      <c r="F46" s="68"/>
    </row>
    <row r="47" spans="1:6">
      <c r="A47" s="68"/>
      <c r="B47" s="68"/>
      <c r="C47" s="162"/>
      <c r="D47" s="161"/>
      <c r="E47" s="161"/>
      <c r="F47" s="68"/>
    </row>
    <row r="48" spans="1:6" ht="14.25">
      <c r="A48" s="68"/>
      <c r="B48" s="160" t="str">
        <f>traduzioni!A209</f>
        <v>10. LANGUAGE</v>
      </c>
      <c r="C48" s="161"/>
      <c r="D48" s="161"/>
      <c r="E48" s="161"/>
      <c r="F48" s="68"/>
    </row>
    <row r="49" spans="1:10">
      <c r="A49" s="68"/>
      <c r="B49" s="68"/>
      <c r="C49" s="162"/>
      <c r="D49" s="161"/>
      <c r="E49" s="161"/>
      <c r="F49" s="68"/>
    </row>
    <row r="50" spans="1:10" ht="25.5" customHeight="1">
      <c r="A50" s="68"/>
      <c r="B50" s="68"/>
      <c r="C50" s="241" t="str">
        <f>traduzioni!A210</f>
        <v>In the event of differences between versions of these conditions in the various languages, the Italian text is binding and takes precedence with respect to the translations.</v>
      </c>
      <c r="D50" s="241"/>
      <c r="E50" s="241"/>
      <c r="F50" s="68"/>
    </row>
    <row r="51" spans="1:10">
      <c r="A51" s="68"/>
      <c r="B51" s="68"/>
      <c r="C51" s="162"/>
      <c r="D51" s="161"/>
      <c r="E51" s="161"/>
      <c r="F51" s="68"/>
    </row>
    <row r="52" spans="1:10" ht="14.25">
      <c r="A52" s="68"/>
      <c r="B52" s="160" t="str">
        <f>traduzioni!A211</f>
        <v>11. APPLICABLE LAW AND COURT OF JURISDICTION</v>
      </c>
      <c r="C52" s="161"/>
      <c r="D52" s="161"/>
      <c r="E52" s="161"/>
      <c r="F52" s="68"/>
      <c r="J52" s="165"/>
    </row>
    <row r="53" spans="1:10">
      <c r="A53" s="68"/>
      <c r="B53" s="68"/>
      <c r="C53" s="162"/>
      <c r="D53" s="161"/>
      <c r="E53" s="161"/>
      <c r="F53" s="68"/>
    </row>
    <row r="54" spans="1:10">
      <c r="A54" s="68"/>
      <c r="B54" s="68"/>
      <c r="C54" s="241" t="str">
        <f>traduzioni!A212</f>
        <v>This agreement and any relationship between the parties is governed exclusively by the Italian law. 
Any dispute that may arise between the parties in relation to this agreement, that cannot be resolved amicably, shall be brought before the court of Bolzano.</v>
      </c>
      <c r="D54" s="241"/>
      <c r="E54" s="241"/>
      <c r="F54" s="68"/>
    </row>
    <row r="55" spans="1:10">
      <c r="A55" s="68"/>
      <c r="B55" s="68"/>
      <c r="C55" s="162"/>
      <c r="D55" s="161"/>
      <c r="E55" s="161"/>
      <c r="F55" s="68"/>
    </row>
    <row r="56" spans="1:10" ht="14.25">
      <c r="A56" s="68"/>
      <c r="B56" s="160" t="str">
        <f>traduzioni!A213</f>
        <v>12. PRIVACY</v>
      </c>
      <c r="C56" s="161"/>
      <c r="D56" s="161"/>
      <c r="E56" s="161"/>
      <c r="F56" s="68"/>
    </row>
    <row r="57" spans="1:10" ht="12.75" customHeight="1">
      <c r="A57" s="68"/>
      <c r="B57" s="68"/>
      <c r="C57" s="162"/>
      <c r="D57" s="161"/>
      <c r="E57" s="161"/>
      <c r="F57" s="68"/>
    </row>
    <row r="58" spans="1:10" ht="12.75" customHeight="1">
      <c r="A58" s="68"/>
      <c r="B58" s="68"/>
      <c r="C58" s="241" t="str">
        <f>traduzioni!A214</f>
        <v>Refer to the privacy policy available at the link:</v>
      </c>
      <c r="D58" s="241"/>
      <c r="E58" s="241"/>
      <c r="F58" s="68"/>
    </row>
    <row r="59" spans="1:10" ht="12.75" customHeight="1">
      <c r="A59" s="68"/>
      <c r="B59" s="68"/>
      <c r="C59" s="240" t="s">
        <v>483</v>
      </c>
      <c r="D59" s="241"/>
      <c r="E59" s="241"/>
      <c r="F59" s="68"/>
    </row>
    <row r="60" spans="1:10" ht="12.75" customHeight="1">
      <c r="A60" s="68"/>
      <c r="B60" s="68"/>
      <c r="C60" s="68"/>
      <c r="D60" s="68"/>
      <c r="E60" s="68"/>
      <c r="F60" s="68"/>
    </row>
    <row r="61" spans="1:10">
      <c r="A61" s="239" t="str">
        <f>traduzioni!A215</f>
        <v>ACCEPT</v>
      </c>
      <c r="B61" s="239"/>
      <c r="C61" s="239"/>
      <c r="D61" s="239"/>
      <c r="E61" s="239"/>
      <c r="F61" s="239"/>
    </row>
    <row r="62" spans="1:10">
      <c r="A62" s="239"/>
      <c r="B62" s="239"/>
      <c r="C62" s="239"/>
      <c r="D62" s="239"/>
      <c r="E62" s="239"/>
      <c r="F62" s="239"/>
    </row>
    <row r="63" spans="1:10">
      <c r="A63" s="239"/>
      <c r="B63" s="239"/>
      <c r="C63" s="239"/>
      <c r="D63" s="239"/>
      <c r="E63" s="239"/>
      <c r="F63" s="239"/>
    </row>
  </sheetData>
  <sheetProtection algorithmName="SHA-512" hashValue="vYO6GMqTHjCiPq6gVx3Ax0gO/qcd2K89ssP5Q1GfLbtFfDqGHJilliwlP1RFvxHJS96WJE6bqguXabq+JuD+uA==" saltValue="F/fWZvI+AJErCUlIEZlTiw==" spinCount="100000" sheet="1" objects="1" scenarios="1" selectLockedCells="1"/>
  <mergeCells count="17">
    <mergeCell ref="C14:E14"/>
    <mergeCell ref="C7:E9"/>
    <mergeCell ref="D2:D4"/>
    <mergeCell ref="E3:E4"/>
    <mergeCell ref="A61:F63"/>
    <mergeCell ref="C59:E59"/>
    <mergeCell ref="C18:E18"/>
    <mergeCell ref="C22:E22"/>
    <mergeCell ref="C26:E26"/>
    <mergeCell ref="C30:E30"/>
    <mergeCell ref="C34:E34"/>
    <mergeCell ref="C38:E38"/>
    <mergeCell ref="C42:E42"/>
    <mergeCell ref="C46:E46"/>
    <mergeCell ref="C50:E50"/>
    <mergeCell ref="C54:E54"/>
    <mergeCell ref="C58:E58"/>
  </mergeCells>
  <dataValidations count="1">
    <dataValidation type="list" allowBlank="1" showInputMessage="1" showErrorMessage="1" sqref="E3:E4" xr:uid="{65199FEF-C025-44B5-9EE2-1CB7A841D101}">
      <formula1>"IT,EN,DE,ES,FR,PT"</formula1>
    </dataValidation>
  </dataValidations>
  <hyperlinks>
    <hyperlink ref="C59" r:id="rId1" xr:uid="{51BF33AA-EE91-4FD2-9BD8-F2C6200438C8}"/>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A0E8-3366-4D2D-BFBD-0064324686E3}">
  <sheetPr codeName="Foglio1">
    <tabColor rgb="FFFFC000"/>
    <pageSetUpPr fitToPage="1"/>
  </sheetPr>
  <dimension ref="A1:AT141"/>
  <sheetViews>
    <sheetView showGridLines="0" showRowColHeaders="0" tabSelected="1" topLeftCell="C1" zoomScaleNormal="100" workbookViewId="0">
      <selection activeCell="H19" sqref="H19"/>
    </sheetView>
  </sheetViews>
  <sheetFormatPr baseColWidth="10" defaultColWidth="0" defaultRowHeight="12.75"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4" width="9" customWidth="1"/>
    <col min="15" max="15" width="26.5" bestFit="1" customWidth="1"/>
    <col min="16" max="18" width="9" customWidth="1"/>
    <col min="19" max="46" width="0" hidden="1" customWidth="1"/>
    <col min="47" max="16384" width="9" hidden="1"/>
  </cols>
  <sheetData>
    <row r="1" spans="4:11"/>
    <row r="2" spans="4:11">
      <c r="D2" s="68"/>
      <c r="E2" s="220" t="str">
        <f>traduzioni!A4</f>
        <v>CALCUL TC-FUSION</v>
      </c>
      <c r="F2" s="220"/>
      <c r="G2" s="220"/>
      <c r="H2" s="220"/>
      <c r="I2" s="220"/>
      <c r="J2" s="220"/>
      <c r="K2" s="68"/>
    </row>
    <row r="3" spans="4:11">
      <c r="D3" s="68"/>
      <c r="E3" s="220"/>
      <c r="F3" s="220"/>
      <c r="G3" s="220"/>
      <c r="H3" s="220"/>
      <c r="I3" s="220"/>
      <c r="J3" s="220"/>
      <c r="K3" s="68"/>
    </row>
    <row r="4" spans="4:11">
      <c r="D4" s="68"/>
      <c r="E4" s="220"/>
      <c r="F4" s="220"/>
      <c r="G4" s="220"/>
      <c r="H4" s="220"/>
      <c r="I4" s="220"/>
      <c r="J4" s="220"/>
      <c r="K4" s="68"/>
    </row>
    <row r="5" spans="4:11">
      <c r="D5" s="68"/>
      <c r="E5" s="220"/>
      <c r="F5" s="220"/>
      <c r="G5" s="220"/>
      <c r="H5" s="220"/>
      <c r="I5" s="220"/>
      <c r="J5" s="220"/>
      <c r="K5" s="68"/>
    </row>
    <row r="6" spans="4:11">
      <c r="D6" s="68"/>
      <c r="E6" s="220"/>
      <c r="F6" s="220"/>
      <c r="G6" s="220"/>
      <c r="H6" s="220"/>
      <c r="I6" s="220"/>
      <c r="J6" s="220"/>
      <c r="K6" s="69" t="s">
        <v>1437</v>
      </c>
    </row>
    <row r="7" spans="4:11"/>
    <row r="8" spans="4:11" ht="15" customHeight="1">
      <c r="D8" s="211" t="str">
        <f>traduzioni!A5</f>
        <v xml:space="preserve">Informations générales </v>
      </c>
      <c r="E8" s="70"/>
      <c r="F8" s="71"/>
      <c r="G8" s="71" t="str">
        <f>traduzioni!A6</f>
        <v>Date</v>
      </c>
      <c r="H8" s="72">
        <f ca="1">TODAY()</f>
        <v>46202</v>
      </c>
      <c r="I8" s="70"/>
      <c r="J8" s="70" t="str">
        <f>traduzioni!A216</f>
        <v>Language</v>
      </c>
      <c r="K8" s="176" t="s">
        <v>673</v>
      </c>
    </row>
    <row r="9" spans="4:11" ht="15" customHeight="1">
      <c r="D9" s="212"/>
      <c r="E9" s="35"/>
      <c r="F9" s="38"/>
      <c r="G9" s="38" t="str">
        <f>traduzioni!A7</f>
        <v>Projet</v>
      </c>
      <c r="H9" s="217"/>
      <c r="I9" s="218"/>
      <c r="J9" s="218"/>
      <c r="K9" s="219"/>
    </row>
    <row r="10" spans="4:11" ht="15" customHeight="1">
      <c r="D10" s="212"/>
      <c r="E10" s="35"/>
      <c r="F10" s="38"/>
      <c r="G10" s="38" t="str">
        <f>traduzioni!A8</f>
        <v>Concepteur</v>
      </c>
      <c r="H10" s="217"/>
      <c r="I10" s="218"/>
      <c r="J10" s="218"/>
      <c r="K10" s="219"/>
    </row>
    <row r="11" spans="4:11" ht="15" customHeight="1">
      <c r="D11" s="213"/>
      <c r="E11" s="73"/>
      <c r="F11" s="74"/>
      <c r="G11" s="74" t="str">
        <f>traduzioni!A9</f>
        <v>Connexion n°</v>
      </c>
      <c r="H11" s="214"/>
      <c r="I11" s="215"/>
      <c r="J11" s="215"/>
      <c r="K11" s="216"/>
    </row>
    <row r="12" spans="4:11" ht="15" customHeight="1"/>
    <row r="13" spans="4:11" ht="15" customHeight="1">
      <c r="D13" s="211" t="str">
        <f>traduzioni!A10</f>
        <v>Norme</v>
      </c>
      <c r="E13" s="134"/>
      <c r="F13" s="10"/>
      <c r="G13" s="71" t="s">
        <v>650</v>
      </c>
      <c r="H13" s="70" t="s">
        <v>1354</v>
      </c>
      <c r="I13" s="134"/>
      <c r="J13" s="134"/>
      <c r="K13" s="11"/>
    </row>
    <row r="14" spans="4:11" ht="15" customHeight="1">
      <c r="D14" s="212"/>
      <c r="E14" s="35"/>
      <c r="F14" s="38"/>
      <c r="G14" s="38" t="str">
        <f>traduzioni!A224</f>
        <v>Bois</v>
      </c>
      <c r="H14" s="177" t="s">
        <v>1352</v>
      </c>
      <c r="I14" s="38"/>
      <c r="J14" s="35"/>
      <c r="K14" s="79"/>
    </row>
    <row r="15" spans="4:11" ht="15" customHeight="1">
      <c r="D15" s="213"/>
      <c r="E15" s="73"/>
      <c r="F15" s="74"/>
      <c r="G15" s="74" t="str">
        <f>traduzioni!A225</f>
        <v>Béton</v>
      </c>
      <c r="H15" s="178" t="s">
        <v>1353</v>
      </c>
      <c r="I15" s="74"/>
      <c r="J15" s="73"/>
      <c r="K15" s="80"/>
    </row>
    <row r="16" spans="4:11" ht="15" hidden="1" customHeight="1">
      <c r="D16" s="171"/>
      <c r="E16" s="35"/>
      <c r="F16" s="38"/>
      <c r="G16" s="173" t="s">
        <v>315</v>
      </c>
      <c r="H16" s="175" t="s">
        <v>307</v>
      </c>
      <c r="I16" s="173" t="s">
        <v>311</v>
      </c>
      <c r="J16" s="174"/>
      <c r="K16" s="76"/>
    </row>
    <row r="17" spans="1:11" ht="15" hidden="1" customHeight="1">
      <c r="D17" s="172"/>
      <c r="E17" s="73"/>
      <c r="F17" s="74"/>
      <c r="G17" s="77" t="s">
        <v>316</v>
      </c>
      <c r="H17" s="148" t="s">
        <v>307</v>
      </c>
      <c r="I17" s="77" t="s">
        <v>312</v>
      </c>
      <c r="J17" s="170"/>
      <c r="K17" s="78"/>
    </row>
    <row r="18" spans="1:11" ht="15" customHeight="1"/>
    <row r="19" spans="1:11" ht="15" customHeight="1">
      <c r="A19" t="b">
        <f>IF(K8="IT","IT",IF(K8="EN","EN"))</f>
        <v>0</v>
      </c>
      <c r="D19" s="211" t="str">
        <f>traduzioni!A13</f>
        <v>Sollicitations</v>
      </c>
      <c r="E19" s="70"/>
      <c r="F19" s="71"/>
      <c r="G19" s="71" t="str">
        <f>traduzioni!A14</f>
        <v xml:space="preserve">Durée de la charge </v>
      </c>
      <c r="H19" s="179" t="s">
        <v>766</v>
      </c>
      <c r="I19" s="70"/>
      <c r="J19" s="70"/>
      <c r="K19" s="75"/>
    </row>
    <row r="20" spans="1:11" ht="15" customHeight="1">
      <c r="D20" s="212"/>
      <c r="E20" s="35" t="s">
        <v>78</v>
      </c>
      <c r="F20" s="38"/>
      <c r="G20" s="38" t="str">
        <f>traduzioni!A226</f>
        <v>Coefficient</v>
      </c>
      <c r="H20" s="81">
        <f>CLT!N12</f>
        <v>1</v>
      </c>
      <c r="I20" s="35"/>
      <c r="J20" s="35" t="s">
        <v>376</v>
      </c>
      <c r="K20" s="79"/>
    </row>
    <row r="21" spans="1:11" ht="15" customHeight="1">
      <c r="D21" s="212"/>
      <c r="E21" s="35" t="s">
        <v>149</v>
      </c>
      <c r="F21" s="38"/>
      <c r="G21" s="38" t="str">
        <f>traduzioni!A15</f>
        <v>Longueur de l’assemblage</v>
      </c>
      <c r="H21" s="35">
        <v>1000</v>
      </c>
      <c r="I21" s="35"/>
      <c r="J21" s="35" t="s">
        <v>35</v>
      </c>
      <c r="K21" s="79"/>
    </row>
    <row r="22" spans="1:11" ht="15" customHeight="1">
      <c r="D22" s="212"/>
      <c r="E22" s="35"/>
      <c r="F22" s="38"/>
      <c r="G22" s="38"/>
      <c r="H22" s="35"/>
      <c r="I22" s="35"/>
      <c r="J22" s="35"/>
      <c r="K22" s="79"/>
    </row>
    <row r="23" spans="1:11" ht="15" customHeight="1">
      <c r="D23" s="212"/>
      <c r="E23" s="35" t="s">
        <v>1392</v>
      </c>
      <c r="F23" s="38"/>
      <c r="G23" s="38" t="str">
        <f>traduzioni!A16</f>
        <v>Action axiale parallèle à la connexion</v>
      </c>
      <c r="H23" s="177">
        <v>0</v>
      </c>
      <c r="I23" s="35"/>
      <c r="J23" s="35" t="s">
        <v>250</v>
      </c>
      <c r="K23" s="79" t="str">
        <f>IF(H23&gt;0,traduzioni!A22,traduzioni!A23)</f>
        <v>- compression</v>
      </c>
    </row>
    <row r="24" spans="1:11" ht="15" customHeight="1">
      <c r="D24" s="212"/>
      <c r="E24" s="35" t="s">
        <v>1393</v>
      </c>
      <c r="F24" s="38"/>
      <c r="G24" s="38" t="str">
        <f>traduzioni!A17</f>
        <v>Coupe perpendiculaire à la connexion, direction-x</v>
      </c>
      <c r="H24" s="177">
        <v>0</v>
      </c>
      <c r="I24" s="35"/>
      <c r="J24" s="35" t="s">
        <v>250</v>
      </c>
      <c r="K24" s="79"/>
    </row>
    <row r="25" spans="1:11" ht="15" customHeight="1">
      <c r="D25" s="212"/>
      <c r="E25" s="35" t="s">
        <v>1394</v>
      </c>
      <c r="F25" s="38"/>
      <c r="G25" s="38" t="str">
        <f>traduzioni!A18</f>
        <v>Coupe perpendiculaire à la connexion, direction-z</v>
      </c>
      <c r="H25" s="177">
        <v>0</v>
      </c>
      <c r="I25" s="35"/>
      <c r="J25" s="35" t="s">
        <v>250</v>
      </c>
      <c r="K25" s="79"/>
    </row>
    <row r="26" spans="1:11" ht="15" customHeight="1">
      <c r="D26" s="212"/>
      <c r="E26" s="35" t="s">
        <v>1395</v>
      </c>
      <c r="F26" s="38"/>
      <c r="G26" s="38" t="str">
        <f>traduzioni!A19</f>
        <v>Moment de flexion parallèle à la connexion</v>
      </c>
      <c r="H26" s="177">
        <v>11.9</v>
      </c>
      <c r="I26" s="35"/>
      <c r="J26" s="35" t="s">
        <v>251</v>
      </c>
      <c r="K26" s="79" t="str">
        <f>IF(H26&gt;0,traduzioni!A24,traduzioni!A25)</f>
        <v>+ fibres tendues inférieures</v>
      </c>
    </row>
    <row r="27" spans="1:11" ht="15" customHeight="1">
      <c r="D27" s="212"/>
      <c r="E27" s="35"/>
      <c r="F27" s="38"/>
      <c r="G27" s="38" t="str">
        <f>traduzioni!A20</f>
        <v>Fibres inférieures tendues</v>
      </c>
      <c r="H27" s="35" t="str">
        <f>IF(H26&gt;0,"POS","NEG")</f>
        <v>POS</v>
      </c>
      <c r="I27" s="35"/>
      <c r="J27" s="35"/>
      <c r="K27" s="79"/>
    </row>
    <row r="28" spans="1:11" ht="15" customHeight="1">
      <c r="D28" s="213"/>
      <c r="E28" s="73" t="s">
        <v>1396</v>
      </c>
      <c r="F28" s="74"/>
      <c r="G28" s="74" t="str">
        <f>traduzioni!A21</f>
        <v>Momentum perpendiculaire à la connexion, plan-xz</v>
      </c>
      <c r="H28" s="180">
        <v>0</v>
      </c>
      <c r="I28" s="73"/>
      <c r="J28" s="73" t="s">
        <v>251</v>
      </c>
      <c r="K28" s="80" t="str">
        <f>traduzioni!A186</f>
        <v>(flexion d'une poutre en béton)</v>
      </c>
    </row>
    <row r="29" spans="1:11" ht="15" customHeight="1"/>
    <row r="30" spans="1:11" ht="15" customHeight="1">
      <c r="D30" s="222" t="str">
        <f>traduzioni!A32</f>
        <v>Composition du panneau</v>
      </c>
      <c r="E30" s="70"/>
      <c r="F30" s="71"/>
      <c r="G30" s="71" t="str">
        <f>traduzioni!A33</f>
        <v>Classe</v>
      </c>
      <c r="H30" s="179" t="s">
        <v>70</v>
      </c>
      <c r="I30" s="70"/>
      <c r="J30" s="70"/>
      <c r="K30" s="75"/>
    </row>
    <row r="31" spans="1:11" ht="15" customHeight="1">
      <c r="D31" s="223"/>
      <c r="E31" s="35"/>
      <c r="F31" s="38"/>
      <c r="G31" s="38" t="str">
        <f>traduzioni!A34</f>
        <v>N° de couches</v>
      </c>
      <c r="H31" s="177" t="s">
        <v>662</v>
      </c>
      <c r="I31" s="35"/>
      <c r="J31" s="35"/>
      <c r="K31" s="79"/>
    </row>
    <row r="32" spans="1:11" ht="15" customHeight="1">
      <c r="D32" s="223"/>
      <c r="E32" s="35"/>
      <c r="F32" s="38"/>
      <c r="G32" s="38" t="str">
        <f>traduzioni!A35</f>
        <v>Type</v>
      </c>
      <c r="H32" s="227" t="s">
        <v>663</v>
      </c>
      <c r="I32" s="228"/>
      <c r="J32" s="229"/>
      <c r="K32" s="79"/>
    </row>
    <row r="33" spans="4:14" ht="15" customHeight="1">
      <c r="D33" s="223"/>
      <c r="E33" s="35"/>
      <c r="F33" s="38"/>
      <c r="G33" s="38" t="str">
        <f>traduzioni!A36</f>
        <v>Épaisseur</v>
      </c>
      <c r="H33" s="35">
        <f>VLOOKUP(H32,CLT!F24:H76,3,FALSE)</f>
        <v>260</v>
      </c>
      <c r="I33" s="35"/>
      <c r="J33" s="35" t="s">
        <v>35</v>
      </c>
      <c r="K33" s="79"/>
    </row>
    <row r="34" spans="4:14" ht="15" customHeight="1">
      <c r="D34" s="224"/>
      <c r="E34" s="73"/>
      <c r="F34" s="74"/>
      <c r="G34" s="74" t="str">
        <f>traduzioni!A37</f>
        <v xml:space="preserve">Orientation </v>
      </c>
      <c r="H34" s="180" t="s">
        <v>97</v>
      </c>
      <c r="I34" s="225" t="str">
        <f>IF($H$34="L",traduzioni!A38,IF(H34="T",traduzioni!A39))</f>
        <v>L-Fibre couches externes perpendiculaires à la ligne de l'assemblage</v>
      </c>
      <c r="J34" s="225"/>
      <c r="K34" s="226"/>
    </row>
    <row r="35" spans="4:14" ht="15" customHeight="1"/>
    <row r="36" spans="4:14" ht="15" customHeight="1">
      <c r="D36" s="211" t="str">
        <f>traduzioni!A40</f>
        <v>Vis</v>
      </c>
      <c r="E36" s="70"/>
      <c r="F36" s="71"/>
      <c r="G36" s="71" t="str">
        <f>traduzioni!A41</f>
        <v>Type de vis</v>
      </c>
      <c r="H36" s="179" t="s">
        <v>660</v>
      </c>
      <c r="I36" s="70"/>
      <c r="J36" s="70"/>
      <c r="K36" s="75"/>
    </row>
    <row r="37" spans="4:14" ht="15" customHeight="1">
      <c r="D37" s="212"/>
      <c r="E37" s="35"/>
      <c r="F37" s="38"/>
      <c r="G37" s="38"/>
      <c r="H37" s="177" t="s">
        <v>661</v>
      </c>
      <c r="I37" s="35"/>
      <c r="J37" s="35"/>
      <c r="K37" s="79"/>
    </row>
    <row r="38" spans="4:14" ht="15" customHeight="1">
      <c r="D38" s="212"/>
      <c r="E38" s="35" t="s">
        <v>21</v>
      </c>
      <c r="F38" s="38"/>
      <c r="G38" s="38" t="str">
        <f>traduzioni!A42</f>
        <v>Diamètre</v>
      </c>
      <c r="H38" s="35">
        <f>VLOOKUP(H36,SCREWS!E11:F14,2,FALSE)</f>
        <v>11</v>
      </c>
      <c r="I38" s="35"/>
      <c r="J38" s="35" t="s">
        <v>35</v>
      </c>
      <c r="K38" s="79"/>
    </row>
    <row r="39" spans="4:14" ht="15" customHeight="1">
      <c r="D39" s="212"/>
      <c r="E39" s="35" t="s">
        <v>22</v>
      </c>
      <c r="F39" s="38"/>
      <c r="G39" s="38" t="str">
        <f>traduzioni!A43</f>
        <v xml:space="preserve">Longueur </v>
      </c>
      <c r="H39" s="35">
        <f>VLOOKUP(H37,SCREWS!X28:AJ98,3,FALSE)</f>
        <v>450</v>
      </c>
      <c r="I39" s="35"/>
      <c r="J39" s="35" t="s">
        <v>35</v>
      </c>
      <c r="K39" s="79"/>
    </row>
    <row r="40" spans="4:14" ht="15" customHeight="1">
      <c r="D40" s="212"/>
      <c r="E40" s="35" t="s">
        <v>157</v>
      </c>
      <c r="F40" s="38"/>
      <c r="G40" s="38" t="str">
        <f>traduzioni!A44</f>
        <v>Espacement supérieur</v>
      </c>
      <c r="H40" s="177">
        <v>200</v>
      </c>
      <c r="I40" s="35"/>
      <c r="J40" s="35" t="s">
        <v>35</v>
      </c>
      <c r="K40" s="79" t="str">
        <f>IF(H40&lt;=300,IF(H40&gt;10*H38,"emin&lt;esup&lt;emax","out of min/max spacing!"))</f>
        <v>emin&lt;esup&lt;emax</v>
      </c>
    </row>
    <row r="41" spans="4:14" ht="15" customHeight="1">
      <c r="D41" s="212"/>
      <c r="E41" s="35" t="s">
        <v>158</v>
      </c>
      <c r="F41" s="38"/>
      <c r="G41" s="38" t="str">
        <f>traduzioni!A45</f>
        <v>Espacement inférieur</v>
      </c>
      <c r="H41" s="177">
        <v>200</v>
      </c>
      <c r="I41" s="35"/>
      <c r="J41" s="35" t="s">
        <v>35</v>
      </c>
      <c r="K41" s="79" t="str">
        <f>IF(H41&lt;=300,IF(H41&gt;10*H38,"emin&lt;einf&lt;emax","out of min/max spacing!"))</f>
        <v>emin&lt;einf&lt;emax</v>
      </c>
    </row>
    <row r="42" spans="4:14" ht="15" customHeight="1">
      <c r="D42" s="212"/>
      <c r="E42" s="35"/>
      <c r="F42" s="38"/>
      <c r="G42" s="38" t="str">
        <f>traduzioni!A46</f>
        <v>Lame (Y/N)</v>
      </c>
      <c r="H42" s="177" t="s">
        <v>307</v>
      </c>
      <c r="I42" s="149">
        <v>20</v>
      </c>
      <c r="J42" s="35" t="s">
        <v>35</v>
      </c>
      <c r="K42" s="79"/>
    </row>
    <row r="43" spans="4:14" ht="15" customHeight="1">
      <c r="D43" s="212"/>
      <c r="E43" s="35" t="s">
        <v>234</v>
      </c>
      <c r="F43" s="38"/>
      <c r="G43" s="38" t="str">
        <f>traduzioni!A47</f>
        <v>Nombre de vis supérieures/mètre</v>
      </c>
      <c r="H43" s="81">
        <f>H21/H40</f>
        <v>5</v>
      </c>
      <c r="I43" s="35"/>
      <c r="J43" s="35" t="s">
        <v>275</v>
      </c>
      <c r="K43" s="79"/>
    </row>
    <row r="44" spans="4:14" ht="15" customHeight="1">
      <c r="D44" s="212"/>
      <c r="E44" s="35" t="s">
        <v>235</v>
      </c>
      <c r="F44" s="38"/>
      <c r="G44" s="38" t="str">
        <f>traduzioni!A48</f>
        <v>Nombre de vis inférieures/mètre</v>
      </c>
      <c r="H44" s="81">
        <f>H21/H41</f>
        <v>5</v>
      </c>
      <c r="I44" s="35"/>
      <c r="J44" s="35" t="s">
        <v>275</v>
      </c>
      <c r="K44" s="79"/>
    </row>
    <row r="45" spans="4:14" ht="15" customHeight="1">
      <c r="D45" s="212"/>
      <c r="E45" s="35" t="s">
        <v>154</v>
      </c>
      <c r="F45" s="38"/>
      <c r="G45" s="38" t="str">
        <f>traduzioni!A49</f>
        <v>Longueur ancrage minimum (Concrete)</v>
      </c>
      <c r="H45" s="35">
        <f>MAX(9*H38,100)</f>
        <v>100</v>
      </c>
      <c r="I45" s="35"/>
      <c r="J45" s="35" t="s">
        <v>35</v>
      </c>
      <c r="K45" s="79"/>
    </row>
    <row r="46" spans="4:14" ht="15" customHeight="1">
      <c r="D46" s="212"/>
      <c r="E46" s="35" t="s">
        <v>155</v>
      </c>
      <c r="F46" s="38"/>
      <c r="G46" s="38" t="str">
        <f>traduzioni!A50</f>
        <v>Longueur de superposition minimum (Concrete)</v>
      </c>
      <c r="H46" s="35">
        <f>MAX(14*H38,150)</f>
        <v>154</v>
      </c>
      <c r="J46" s="35" t="s">
        <v>35</v>
      </c>
      <c r="K46" s="79"/>
    </row>
    <row r="47" spans="4:14" ht="15" customHeight="1">
      <c r="D47" s="212"/>
      <c r="E47" s="35" t="s">
        <v>344</v>
      </c>
      <c r="F47" s="38"/>
      <c r="G47" s="38" t="str">
        <f>traduzioni!A51</f>
        <v>Longueur de pénétration minimum (Timber)</v>
      </c>
      <c r="H47" s="82">
        <f>2.3*(SCREWS!D40*1000/(SCREWS!D41*SCREWS!E23))^0.5</f>
        <v>60.502178096441845</v>
      </c>
      <c r="I47" s="35"/>
      <c r="J47" s="35" t="s">
        <v>35</v>
      </c>
      <c r="K47" s="79" t="str">
        <f>IF(H74&gt;(H47),"leff&gt;leff,min","leff&lt;leff,min")</f>
        <v>leff&gt;leff,min</v>
      </c>
      <c r="L47" t="s">
        <v>345</v>
      </c>
    </row>
    <row r="48" spans="4:14" ht="15" customHeight="1">
      <c r="D48" s="212"/>
      <c r="E48" s="35" t="s">
        <v>221</v>
      </c>
      <c r="F48" s="38"/>
      <c r="G48" s="38" t="str">
        <f>traduzioni!A52</f>
        <v>Distance bord a4t</v>
      </c>
      <c r="H48" s="177">
        <v>45</v>
      </c>
      <c r="I48" s="35"/>
      <c r="J48" s="35" t="s">
        <v>35</v>
      </c>
      <c r="K48" s="79"/>
      <c r="N48" s="29"/>
    </row>
    <row r="49" spans="4:19" ht="15" customHeight="1">
      <c r="D49" s="213"/>
      <c r="E49" s="73" t="s">
        <v>156</v>
      </c>
      <c r="F49" s="74"/>
      <c r="G49" s="74" t="str">
        <f>traduzioni!A53</f>
        <v>Distance minimum bord a4t</v>
      </c>
      <c r="H49" s="73">
        <f>6*H38</f>
        <v>66</v>
      </c>
      <c r="I49" s="73"/>
      <c r="J49" s="73" t="s">
        <v>35</v>
      </c>
      <c r="K49" s="80" t="str">
        <f>IF(H48&lt;H49,"a4&lt;a4min","a4&gt;a4min")</f>
        <v>a4&lt;a4min</v>
      </c>
      <c r="L49" t="s">
        <v>343</v>
      </c>
      <c r="N49" s="29"/>
    </row>
    <row r="50" spans="4:19" ht="15" customHeight="1"/>
    <row r="51" spans="4:19" ht="15" customHeight="1">
      <c r="D51" s="211" t="str">
        <f>traduzioni!A54</f>
        <v>Béton</v>
      </c>
      <c r="E51" s="70"/>
      <c r="F51" s="71"/>
      <c r="G51" s="71" t="str">
        <f>traduzioni!A55</f>
        <v>Classe du béton</v>
      </c>
      <c r="H51" s="179" t="s">
        <v>64</v>
      </c>
      <c r="I51" s="70"/>
      <c r="J51" s="70"/>
      <c r="K51" s="83" t="str">
        <f>IF(H51="C20/25","NOT COVERED BY ETA","OK")</f>
        <v>OK</v>
      </c>
      <c r="P51" s="9"/>
      <c r="Q51" s="9"/>
      <c r="R51" s="9"/>
    </row>
    <row r="52" spans="4:19" ht="15" customHeight="1">
      <c r="D52" s="212"/>
      <c r="E52" s="35" t="s">
        <v>159</v>
      </c>
      <c r="F52" s="38"/>
      <c r="G52" s="38" t="str">
        <f>traduzioni!A56</f>
        <v>Diamètre étriers</v>
      </c>
      <c r="H52" s="177">
        <v>6</v>
      </c>
      <c r="I52" s="35"/>
      <c r="J52" s="35" t="s">
        <v>35</v>
      </c>
      <c r="K52" s="79"/>
      <c r="P52" s="9"/>
      <c r="Q52" s="9"/>
      <c r="R52" s="9"/>
    </row>
    <row r="53" spans="4:19" ht="15" customHeight="1">
      <c r="D53" s="212"/>
      <c r="E53" s="35" t="s">
        <v>160</v>
      </c>
      <c r="F53" s="38"/>
      <c r="G53" s="38" t="str">
        <f>traduzioni!A57</f>
        <v>Diamètre barres longitudinales</v>
      </c>
      <c r="H53" s="177">
        <v>8</v>
      </c>
      <c r="I53" s="35"/>
      <c r="J53" s="35" t="s">
        <v>35</v>
      </c>
      <c r="K53" s="79"/>
    </row>
    <row r="54" spans="4:19" ht="15" customHeight="1">
      <c r="D54" s="212"/>
      <c r="E54" s="35" t="s">
        <v>161</v>
      </c>
      <c r="F54" s="38"/>
      <c r="G54" s="38" t="str">
        <f>traduzioni!A58</f>
        <v>Diamètre agrégat (*)</v>
      </c>
      <c r="H54" s="177">
        <v>10</v>
      </c>
      <c r="I54" s="35"/>
      <c r="J54" s="35" t="s">
        <v>35</v>
      </c>
      <c r="K54" s="231" t="str">
        <f>traduzioni!A221</f>
        <v>(*) pour les agrégats de taille supérieure à 15 mm, évaluer les conditions de coulage du béton</v>
      </c>
      <c r="P54" s="9"/>
      <c r="Q54" s="9"/>
      <c r="R54" s="9"/>
    </row>
    <row r="55" spans="4:19" ht="15" customHeight="1">
      <c r="D55" s="212"/>
      <c r="E55" s="35"/>
      <c r="F55" s="38"/>
      <c r="G55" s="38" t="str">
        <f>traduzioni!A59</f>
        <v>Classe d’exposition environnementale</v>
      </c>
      <c r="H55" s="35" t="str">
        <f>CONCRETE!G9</f>
        <v>XC1</v>
      </c>
      <c r="I55" s="35"/>
      <c r="J55" s="35"/>
      <c r="K55" s="231"/>
      <c r="P55" s="9"/>
      <c r="Q55" s="4"/>
      <c r="R55" s="9"/>
    </row>
    <row r="56" spans="4:19" ht="15" customHeight="1">
      <c r="D56" s="212"/>
      <c r="E56" s="35" t="s">
        <v>162</v>
      </c>
      <c r="F56" s="38"/>
      <c r="G56" s="38" t="str">
        <f>traduzioni!A60</f>
        <v>Enrobage minimum étriers</v>
      </c>
      <c r="H56" s="35">
        <f>CONCRETE!H17</f>
        <v>20</v>
      </c>
      <c r="I56" s="35"/>
      <c r="J56" s="35" t="s">
        <v>35</v>
      </c>
      <c r="K56" s="231"/>
      <c r="Q56" s="2"/>
    </row>
    <row r="57" spans="4:19" ht="15" customHeight="1">
      <c r="D57" s="212"/>
      <c r="E57" s="35" t="s">
        <v>163</v>
      </c>
      <c r="F57" s="38"/>
      <c r="G57" s="38" t="str">
        <f>traduzioni!A61</f>
        <v>Enrobage minimum barres longitudinales</v>
      </c>
      <c r="H57" s="35">
        <f>CONCRETE!H18</f>
        <v>20</v>
      </c>
      <c r="I57" s="35"/>
      <c r="J57" s="35" t="s">
        <v>35</v>
      </c>
      <c r="K57" s="79"/>
      <c r="Q57" s="3"/>
      <c r="R57" s="2"/>
      <c r="S57" s="2"/>
    </row>
    <row r="58" spans="4:19" ht="15" customHeight="1">
      <c r="D58" s="212"/>
      <c r="E58" s="35" t="s">
        <v>128</v>
      </c>
      <c r="F58" s="38"/>
      <c r="G58" s="38" t="str">
        <f>traduzioni!A62</f>
        <v>Distance axe barres longitudinales</v>
      </c>
      <c r="H58" s="35">
        <f>CONCRETE!H20</f>
        <v>24</v>
      </c>
      <c r="I58" s="35"/>
      <c r="J58" s="35" t="s">
        <v>35</v>
      </c>
      <c r="K58" s="79"/>
    </row>
    <row r="59" spans="4:19" ht="15" customHeight="1">
      <c r="D59" s="213"/>
      <c r="E59" s="73" t="s">
        <v>405</v>
      </c>
      <c r="F59" s="74"/>
      <c r="G59" s="74" t="str">
        <f>traduzioni!A63</f>
        <v>Largeur minimum bordure</v>
      </c>
      <c r="H59" s="73">
        <f>H58+H58+H46</f>
        <v>202</v>
      </c>
      <c r="I59" s="73"/>
      <c r="J59" s="73" t="s">
        <v>35</v>
      </c>
      <c r="K59" s="80"/>
    </row>
    <row r="60" spans="4:19" ht="15" customHeight="1"/>
    <row r="61" spans="4:19" ht="15" customHeight="1">
      <c r="D61" s="211" t="str">
        <f>traduzioni!A64</f>
        <v>Résistances</v>
      </c>
      <c r="E61" s="70" t="s">
        <v>165</v>
      </c>
      <c r="F61" s="71"/>
      <c r="G61" s="71" t="str">
        <f>traduzioni!A65</f>
        <v>Résistance à la compression bois (design)</v>
      </c>
      <c r="H61" s="84">
        <f>CLT!N18</f>
        <v>16.8</v>
      </c>
      <c r="I61" s="70"/>
      <c r="J61" s="70" t="s">
        <v>100</v>
      </c>
      <c r="K61" s="75"/>
    </row>
    <row r="62" spans="4:19" ht="15" customHeight="1">
      <c r="D62" s="212"/>
      <c r="E62" s="35" t="s">
        <v>167</v>
      </c>
      <c r="F62" s="38"/>
      <c r="G62" s="38" t="str">
        <f>traduzioni!A66</f>
        <v>Résistance à la compression béton CLS (design)</v>
      </c>
      <c r="H62" s="81">
        <f>CONCRETE!H30</f>
        <v>14.166666666666666</v>
      </c>
      <c r="I62" s="35"/>
      <c r="J62" s="35" t="s">
        <v>100</v>
      </c>
      <c r="K62" s="79"/>
    </row>
    <row r="63" spans="4:19" ht="15" customHeight="1">
      <c r="D63" s="212"/>
      <c r="E63" s="35" t="s">
        <v>166</v>
      </c>
      <c r="F63" s="38"/>
      <c r="G63" s="38" t="str">
        <f>traduzioni!A67</f>
        <v>min(T,CA)</v>
      </c>
      <c r="H63" s="81">
        <f>MIN(H61,H62)</f>
        <v>14.166666666666666</v>
      </c>
      <c r="I63" s="35"/>
      <c r="J63" s="35" t="s">
        <v>100</v>
      </c>
      <c r="K63" s="79"/>
    </row>
    <row r="64" spans="4:19" ht="15" customHeight="1">
      <c r="D64" s="213"/>
      <c r="E64" s="73" t="s">
        <v>168</v>
      </c>
      <c r="F64" s="74"/>
      <c r="G64" s="74" t="str">
        <f>traduzioni!A68</f>
        <v>Tension d’adhérence</v>
      </c>
      <c r="H64" s="73">
        <f>VLOOKUP(H36,SCREWS!E11:H14,4,FALSE)</f>
        <v>12.5</v>
      </c>
      <c r="I64" s="73"/>
      <c r="J64" s="73" t="s">
        <v>100</v>
      </c>
      <c r="K64" s="80"/>
    </row>
    <row r="65" spans="4:46" ht="15" customHeight="1">
      <c r="E65" s="35"/>
      <c r="F65" s="38"/>
      <c r="G65" s="38"/>
      <c r="H65" s="35"/>
      <c r="I65" s="35"/>
      <c r="J65" s="35"/>
      <c r="K65" s="38"/>
    </row>
    <row r="66" spans="4:46" ht="15" customHeight="1">
      <c r="D66" s="211" t="str">
        <f>traduzioni!A69</f>
        <v>Géométrie effective</v>
      </c>
      <c r="E66" s="70"/>
      <c r="F66" s="71"/>
      <c r="G66" s="71" t="str">
        <f>traduzioni!A70</f>
        <v>Distance axe barres longitudinales</v>
      </c>
      <c r="H66" s="70">
        <f>H58+IF(H42="N",(0),IF(H42="Y",(I42)))</f>
        <v>24</v>
      </c>
      <c r="I66" s="70"/>
      <c r="J66" s="70" t="s">
        <v>35</v>
      </c>
      <c r="K66" s="75"/>
    </row>
    <row r="67" spans="4:46" ht="15" customHeight="1">
      <c r="D67" s="212"/>
      <c r="E67" s="35" t="s">
        <v>164</v>
      </c>
      <c r="F67" s="38"/>
      <c r="G67" s="38" t="str">
        <f>traduzioni!A71</f>
        <v>Largeur effective bordure</v>
      </c>
      <c r="H67" s="177">
        <v>200</v>
      </c>
      <c r="I67" s="35"/>
      <c r="J67" s="35" t="s">
        <v>35</v>
      </c>
      <c r="K67" s="79"/>
    </row>
    <row r="68" spans="4:46" ht="15" customHeight="1">
      <c r="D68" s="212"/>
      <c r="E68" s="35"/>
      <c r="F68" s="38"/>
      <c r="G68" s="38" t="str">
        <f>traduzioni!A72</f>
        <v>Longueur de superposition</v>
      </c>
      <c r="H68" s="35">
        <f>H67-2*CONCRETE!M14</f>
        <v>160</v>
      </c>
      <c r="I68" s="35"/>
      <c r="J68" s="35" t="s">
        <v>35</v>
      </c>
      <c r="K68" s="79"/>
    </row>
    <row r="69" spans="4:46" ht="15" customHeight="1">
      <c r="D69" s="212"/>
      <c r="E69" s="35"/>
      <c r="F69" s="38"/>
      <c r="G69" s="38" t="str">
        <f>traduzioni!A73</f>
        <v>Longueur d’ancrage</v>
      </c>
      <c r="H69" s="35">
        <f>H68+CONCRETE!M14</f>
        <v>180</v>
      </c>
      <c r="I69" s="35"/>
      <c r="J69" s="35"/>
      <c r="K69" s="79"/>
    </row>
    <row r="70" spans="4:46" ht="15" customHeight="1">
      <c r="D70" s="212"/>
      <c r="E70" s="35"/>
      <c r="F70" s="38"/>
      <c r="G70" s="38" t="str">
        <f>traduzioni!A74</f>
        <v>Distance du bord réel des vis</v>
      </c>
      <c r="H70" s="35">
        <f>MAX(H48,(H66+H53/2+H38/2))</f>
        <v>45</v>
      </c>
      <c r="I70" s="35"/>
      <c r="J70" s="35" t="s">
        <v>35</v>
      </c>
      <c r="K70" s="79"/>
    </row>
    <row r="71" spans="4:46" ht="15" customHeight="1">
      <c r="D71" s="212"/>
      <c r="E71" s="35"/>
      <c r="F71" s="38"/>
      <c r="G71" s="38" t="str">
        <f>traduzioni!A75</f>
        <v>Vérification cohérence position vis/barres</v>
      </c>
      <c r="H71" s="35" t="str">
        <f>IF(H70&gt;=I71,"YES &gt;","NO, INCREASE a4 to")</f>
        <v>YES &gt;</v>
      </c>
      <c r="I71" s="35">
        <f>IF(H42="N",(H66+H53/2+H38/2+'CLT EDGE DISTANCE'!D15),IF(H42="Y",(H66+H53/2+H38/2+'CLT EDGE DISTANCE'!D15)))</f>
        <v>35.5</v>
      </c>
      <c r="J71" s="35" t="s">
        <v>35</v>
      </c>
      <c r="K71" s="230" t="str">
        <f>traduzioni!A81</f>
        <v>(*) nous supposons que la vis pénètre dans la bordure jusqu'à la barre d'armature opposée</v>
      </c>
    </row>
    <row r="72" spans="4:46" ht="15" customHeight="1">
      <c r="D72" s="212"/>
      <c r="E72" s="35" t="s">
        <v>248</v>
      </c>
      <c r="F72" s="38"/>
      <c r="G72" s="85" t="str">
        <f>traduzioni!A76</f>
        <v>Distance vis section supérieure</v>
      </c>
      <c r="H72" s="86">
        <f>H33-H70</f>
        <v>215</v>
      </c>
      <c r="I72" s="86"/>
      <c r="J72" s="86" t="s">
        <v>35</v>
      </c>
      <c r="K72" s="230"/>
    </row>
    <row r="73" spans="4:46" ht="15" customHeight="1">
      <c r="D73" s="212"/>
      <c r="E73" s="35" t="s">
        <v>249</v>
      </c>
      <c r="F73" s="38"/>
      <c r="G73" s="38" t="str">
        <f>traduzioni!A77</f>
        <v>Longueur filetage vis CA (*)</v>
      </c>
      <c r="H73" s="35">
        <f>H67-CONCRETE!M14</f>
        <v>180</v>
      </c>
      <c r="I73" s="35"/>
      <c r="J73" s="35" t="s">
        <v>35</v>
      </c>
      <c r="K73" s="230"/>
      <c r="X73" s="63"/>
      <c r="Y73" s="63"/>
      <c r="Z73" s="63"/>
      <c r="AA73" s="63"/>
      <c r="AB73" s="63"/>
      <c r="AC73" s="63"/>
      <c r="AD73" s="63"/>
      <c r="AE73" s="63"/>
      <c r="AF73" s="63"/>
      <c r="AG73" s="63"/>
      <c r="AH73" s="63"/>
    </row>
    <row r="74" spans="4:46" ht="15" customHeight="1">
      <c r="D74" s="212"/>
      <c r="E74" s="35" t="s">
        <v>88</v>
      </c>
      <c r="F74" s="38"/>
      <c r="G74" s="38" t="str">
        <f>traduzioni!A78</f>
        <v>Longueur filetage vis Bois</v>
      </c>
      <c r="H74" s="35">
        <f>H39-H73</f>
        <v>270</v>
      </c>
      <c r="I74" s="35"/>
      <c r="J74" s="35" t="s">
        <v>35</v>
      </c>
      <c r="K74" s="79" t="str">
        <f>IF(H74&lt;(20*H38),"l&lt;lmin","l&gt;lmin")</f>
        <v>l&gt;lmin</v>
      </c>
      <c r="AK74" s="64"/>
      <c r="AL74" s="64"/>
      <c r="AM74" s="64" t="s">
        <v>256</v>
      </c>
      <c r="AN74" s="64"/>
      <c r="AO74" s="64">
        <f>0.25*H33</f>
        <v>65</v>
      </c>
      <c r="AP74" s="64" t="s">
        <v>35</v>
      </c>
      <c r="AQ74" s="64"/>
      <c r="AR74" s="64"/>
      <c r="AS74" s="64"/>
      <c r="AT74" s="64"/>
    </row>
    <row r="75" spans="4:46" ht="15" customHeight="1">
      <c r="D75" s="212"/>
      <c r="E75" s="35" t="s">
        <v>237</v>
      </c>
      <c r="F75" s="38"/>
      <c r="G75" s="38" t="str">
        <f>traduzioni!A79</f>
        <v>Longueur efficace filetage vis Bois</v>
      </c>
      <c r="H75" s="35">
        <f>H74-10</f>
        <v>260</v>
      </c>
      <c r="I75" s="35"/>
      <c r="J75" s="35" t="s">
        <v>35</v>
      </c>
      <c r="K75" s="79"/>
      <c r="AK75" s="64"/>
      <c r="AL75" s="221" t="s">
        <v>97</v>
      </c>
      <c r="AM75" s="221"/>
      <c r="AN75" s="221"/>
      <c r="AO75" s="221"/>
      <c r="AP75" s="64"/>
      <c r="AQ75" s="221" t="s">
        <v>664</v>
      </c>
      <c r="AR75" s="221"/>
      <c r="AS75" s="221"/>
      <c r="AT75" s="221"/>
    </row>
    <row r="76" spans="4:46" ht="15" customHeight="1">
      <c r="D76" s="213"/>
      <c r="E76" s="73" t="s">
        <v>230</v>
      </c>
      <c r="F76" s="74"/>
      <c r="G76" s="74" t="str">
        <f>traduzioni!A80</f>
        <v>Distance entre vis supérieures/inférieures</v>
      </c>
      <c r="H76" s="73">
        <f>H72-H48</f>
        <v>170</v>
      </c>
      <c r="I76" s="73"/>
      <c r="J76" s="73" t="s">
        <v>35</v>
      </c>
      <c r="K76" s="80"/>
      <c r="AH76" s="5" t="s">
        <v>6</v>
      </c>
      <c r="AI76" s="5">
        <f>--MID(H32,14,2)</f>
        <v>40</v>
      </c>
      <c r="AJ76" s="5" t="str">
        <f>H34</f>
        <v>L</v>
      </c>
      <c r="AK76" s="64"/>
      <c r="AL76" s="64">
        <f t="shared" ref="AL76:AL86" si="0">IF(AJ76="L",AI76,0)</f>
        <v>40</v>
      </c>
      <c r="AM76" s="64">
        <f>AI76</f>
        <v>40</v>
      </c>
      <c r="AN76" s="64">
        <f>IF(AM76&lt;$AO$74,AM76,"non compreso int")</f>
        <v>40</v>
      </c>
      <c r="AO76" s="64">
        <f>AN76*IF(AL76=0,0,1)</f>
        <v>40</v>
      </c>
      <c r="AP76" s="64"/>
      <c r="AQ76" s="64">
        <f>IF(AJ76="C",AI76,0)</f>
        <v>0</v>
      </c>
      <c r="AR76" s="64">
        <f>AM76</f>
        <v>40</v>
      </c>
      <c r="AS76" s="64">
        <f>IF(AR76&lt;$AO$74,AR76,"non compreso int")</f>
        <v>40</v>
      </c>
      <c r="AT76" s="64">
        <f>AS76*IF(AQ76=0,0,1)</f>
        <v>0</v>
      </c>
    </row>
    <row r="77" spans="4:46" ht="15" customHeight="1">
      <c r="AH77" s="5" t="s">
        <v>7</v>
      </c>
      <c r="AI77" s="5">
        <f>--MID(H32,14+3,2)</f>
        <v>40</v>
      </c>
      <c r="AJ77" s="5" t="str">
        <f>IF(AJ76="L","T")</f>
        <v>T</v>
      </c>
      <c r="AK77" s="64"/>
      <c r="AL77" s="64">
        <f t="shared" si="0"/>
        <v>0</v>
      </c>
      <c r="AM77" s="64">
        <f>AI77</f>
        <v>40</v>
      </c>
      <c r="AN77" s="64">
        <f>IF(AM77+AN76&lt;$AO$74,AM77,AO74-AN76)</f>
        <v>25</v>
      </c>
      <c r="AO77" s="64">
        <f>AN77*IF(AL77=0,0,1)</f>
        <v>0</v>
      </c>
      <c r="AP77" s="64"/>
      <c r="AQ77" s="64">
        <f t="shared" ref="AQ77:AQ86" si="1">IF(AJ77="C",AI77,0)</f>
        <v>0</v>
      </c>
      <c r="AR77" s="64">
        <f t="shared" ref="AR77:AR86" si="2">AM77</f>
        <v>40</v>
      </c>
      <c r="AS77" s="64" t="str">
        <f>IF(AR77+AS76&lt;$AO$74,AR77,"non compreso int")</f>
        <v>non compreso int</v>
      </c>
      <c r="AT77" s="64" t="e">
        <f>AS77*IF(AQ77=0,0,1)</f>
        <v>#VALUE!</v>
      </c>
    </row>
    <row r="78" spans="4:46" ht="15" customHeight="1">
      <c r="D78" s="211" t="str">
        <f>traduzioni!A82</f>
        <v>Vérification</v>
      </c>
      <c r="E78" s="70" t="s">
        <v>383</v>
      </c>
      <c r="F78" s="71"/>
      <c r="G78" s="71" t="str">
        <f>traduzioni!A83</f>
        <v>Action maximale sur chaque vis</v>
      </c>
      <c r="H78" s="140">
        <f>'CALCOLI STS (slab to slab)'!H83</f>
        <v>11.172217602872172</v>
      </c>
      <c r="I78" s="10"/>
      <c r="J78" s="134" t="s">
        <v>55</v>
      </c>
      <c r="K78" s="11"/>
      <c r="AH78" s="5" t="s">
        <v>8</v>
      </c>
      <c r="AI78" s="5">
        <f>--MID(H32,14+3+3,2)</f>
        <v>30</v>
      </c>
      <c r="AJ78" s="5" t="str">
        <f>AJ76</f>
        <v>L</v>
      </c>
      <c r="AK78" s="64"/>
      <c r="AL78" s="64">
        <f t="shared" si="0"/>
        <v>30</v>
      </c>
      <c r="AM78" s="64">
        <f t="shared" ref="AM78:AM86" si="3">AI78</f>
        <v>30</v>
      </c>
      <c r="AN78" s="64">
        <f>IF(AM78+AN76+AN77&lt;$AO$74,AM78,AO74-AN76-AN77)</f>
        <v>0</v>
      </c>
      <c r="AO78" s="64">
        <f>AN78*IF(AL78=0,0,1)</f>
        <v>0</v>
      </c>
      <c r="AP78" s="64"/>
      <c r="AQ78" s="64">
        <f t="shared" si="1"/>
        <v>0</v>
      </c>
      <c r="AR78" s="64">
        <f t="shared" si="2"/>
        <v>30</v>
      </c>
      <c r="AS78" s="64" t="e">
        <f>IF(AR78+AS76+AS77&lt;$AO$74,AR78,AO74-AS76-AS77)</f>
        <v>#VALUE!</v>
      </c>
      <c r="AT78" s="64" t="e">
        <f>AS78*IF(AQ78=0,0,1)</f>
        <v>#VALUE!</v>
      </c>
    </row>
    <row r="79" spans="4:46" ht="15" customHeight="1">
      <c r="D79" s="212"/>
      <c r="E79" s="35" t="s">
        <v>169</v>
      </c>
      <c r="F79" s="38"/>
      <c r="G79" s="38" t="str">
        <f>traduzioni!A84</f>
        <v>Résistance axiale d’une vis côté bois/acier</v>
      </c>
      <c r="H79" s="16">
        <f>'CALCOLI STS (slab to slab)'!H93</f>
        <v>15.619848046965735</v>
      </c>
      <c r="I79" s="16"/>
      <c r="J79" s="2" t="s">
        <v>55</v>
      </c>
      <c r="K79" s="135"/>
      <c r="AH79" s="5" t="s">
        <v>9</v>
      </c>
      <c r="AI79" s="5">
        <f>--MID(H32,14+3+3+3,2)</f>
        <v>40</v>
      </c>
      <c r="AJ79" s="5" t="str">
        <f>IF(AJ76="L","T")</f>
        <v>T</v>
      </c>
      <c r="AK79" s="64"/>
      <c r="AL79" s="64">
        <f t="shared" si="0"/>
        <v>0</v>
      </c>
      <c r="AM79" s="64">
        <f t="shared" si="3"/>
        <v>40</v>
      </c>
      <c r="AN79" s="64">
        <f>IF(AM79+AN76+AN77+AN78&lt;$AO$74,AM79,AO74-AN76-AN77-AN78)</f>
        <v>0</v>
      </c>
      <c r="AO79" s="64">
        <f t="shared" ref="AO79:AO85" si="4">AN79*IF(AL79=0,0,1)</f>
        <v>0</v>
      </c>
      <c r="AP79" s="64"/>
      <c r="AQ79" s="64">
        <f t="shared" si="1"/>
        <v>0</v>
      </c>
      <c r="AR79" s="64">
        <f t="shared" si="2"/>
        <v>40</v>
      </c>
      <c r="AS79" s="64" t="e">
        <f>IF(AR79+AS76+AS77+AS78&lt;$AO$74,AR79,AO74-AS76-AS77-AS78)</f>
        <v>#VALUE!</v>
      </c>
      <c r="AT79" s="64" t="e">
        <f>AS79*IF(AQ79=0,0,1)</f>
        <v>#VALUE!</v>
      </c>
    </row>
    <row r="80" spans="4:46" ht="15" customHeight="1">
      <c r="D80" s="212"/>
      <c r="E80" s="96" t="s">
        <v>141</v>
      </c>
      <c r="G80" s="97" t="str">
        <f>traduzioni!A85</f>
        <v xml:space="preserve">Taux de travail effort axial </v>
      </c>
      <c r="H80" s="147">
        <f>'CALCOLI STS (slab to slab)'!H95</f>
        <v>71.525776494621226</v>
      </c>
      <c r="I80" s="136"/>
      <c r="J80" s="145" t="s">
        <v>102</v>
      </c>
      <c r="K80" s="79" t="str">
        <f>IF(H80&lt;100,"OK","NO")</f>
        <v>OK</v>
      </c>
      <c r="AH80" s="5" t="s">
        <v>10</v>
      </c>
      <c r="AI80" s="5">
        <f>--MID(H32,14+3+3+3+3,2)</f>
        <v>30</v>
      </c>
      <c r="AJ80" s="5" t="str">
        <f>AJ76</f>
        <v>L</v>
      </c>
      <c r="AK80" s="64"/>
      <c r="AL80" s="64">
        <f t="shared" si="0"/>
        <v>30</v>
      </c>
      <c r="AM80" s="64">
        <f t="shared" si="3"/>
        <v>30</v>
      </c>
      <c r="AN80" s="64"/>
      <c r="AO80" s="64">
        <f t="shared" si="4"/>
        <v>0</v>
      </c>
      <c r="AP80" s="64"/>
      <c r="AQ80" s="64">
        <f t="shared" si="1"/>
        <v>0</v>
      </c>
      <c r="AR80" s="64">
        <f t="shared" si="2"/>
        <v>30</v>
      </c>
      <c r="AS80" s="64"/>
      <c r="AT80" s="64">
        <f>AS80*IF(AQ80=0,0,1)</f>
        <v>0</v>
      </c>
    </row>
    <row r="81" spans="4:46" ht="15" customHeight="1">
      <c r="D81" s="212"/>
      <c r="E81" s="35" t="s">
        <v>421</v>
      </c>
      <c r="G81" s="38" t="str">
        <f>traduzioni!A86</f>
        <v>Action tranchante maximale</v>
      </c>
      <c r="H81" s="16">
        <f>'CALCOLI STS (slab to slab)'!H91</f>
        <v>0</v>
      </c>
      <c r="I81" s="16"/>
      <c r="J81" s="2" t="s">
        <v>55</v>
      </c>
      <c r="K81" s="135"/>
      <c r="AH81" s="5" t="s">
        <v>11</v>
      </c>
      <c r="AI81" s="5">
        <f>--MID(H32,14+3+3+3+3+3,2)</f>
        <v>40</v>
      </c>
      <c r="AJ81" s="5" t="str">
        <f>IF(AJ76="L","T")</f>
        <v>T</v>
      </c>
      <c r="AK81" s="64"/>
      <c r="AL81" s="64">
        <f t="shared" si="0"/>
        <v>0</v>
      </c>
      <c r="AM81" s="64">
        <f t="shared" si="3"/>
        <v>40</v>
      </c>
      <c r="AN81" s="64"/>
      <c r="AO81" s="64">
        <f t="shared" si="4"/>
        <v>0</v>
      </c>
      <c r="AP81" s="64"/>
      <c r="AQ81" s="64">
        <f t="shared" si="1"/>
        <v>0</v>
      </c>
      <c r="AR81" s="64">
        <f t="shared" si="2"/>
        <v>40</v>
      </c>
      <c r="AS81" s="64"/>
      <c r="AT81" s="64">
        <f t="shared" ref="AT81:AT85" si="5">AS81*IF(AQ81=0,0,1)</f>
        <v>0</v>
      </c>
    </row>
    <row r="82" spans="4:46" ht="15" customHeight="1">
      <c r="D82" s="212"/>
      <c r="E82" s="35" t="s">
        <v>170</v>
      </c>
      <c r="F82" s="38"/>
      <c r="G82" s="38" t="str">
        <f>traduzioni!A87</f>
        <v xml:space="preserve">Résistance au cisaillement de chaque vis </v>
      </c>
      <c r="H82" s="16">
        <f>'CALCOLI STS (slab to slab)'!H94</f>
        <v>4.209713784863423</v>
      </c>
      <c r="I82" s="16"/>
      <c r="J82" s="2" t="s">
        <v>55</v>
      </c>
      <c r="K82" s="12"/>
      <c r="L82" s="4"/>
      <c r="M82" s="4"/>
      <c r="AH82" s="5" t="s">
        <v>12</v>
      </c>
      <c r="AI82" s="5">
        <f>--MID(H32,14+3+3+3+3+3+3,2)</f>
        <v>40</v>
      </c>
      <c r="AJ82" s="5" t="str">
        <f>AJ76</f>
        <v>L</v>
      </c>
      <c r="AK82" s="64"/>
      <c r="AL82" s="64">
        <f t="shared" si="0"/>
        <v>40</v>
      </c>
      <c r="AM82" s="64">
        <f t="shared" si="3"/>
        <v>40</v>
      </c>
      <c r="AN82" s="64"/>
      <c r="AO82" s="64">
        <f t="shared" si="4"/>
        <v>0</v>
      </c>
      <c r="AP82" s="64"/>
      <c r="AQ82" s="64">
        <f t="shared" si="1"/>
        <v>0</v>
      </c>
      <c r="AR82" s="64">
        <f t="shared" si="2"/>
        <v>40</v>
      </c>
      <c r="AS82" s="64"/>
      <c r="AT82" s="64">
        <f t="shared" si="5"/>
        <v>0</v>
      </c>
    </row>
    <row r="83" spans="4:46" ht="15" customHeight="1">
      <c r="D83" s="212"/>
      <c r="E83" s="96" t="s">
        <v>141</v>
      </c>
      <c r="G83" s="97" t="str">
        <f>traduzioni!A88</f>
        <v xml:space="preserve">Taux de travail effort au cisaillement </v>
      </c>
      <c r="H83" s="143">
        <f>'CALCOLI STS (slab to slab)'!H96</f>
        <v>0</v>
      </c>
      <c r="I83" s="16"/>
      <c r="J83" s="145" t="s">
        <v>102</v>
      </c>
      <c r="K83" s="79" t="str">
        <f>IF(H83&lt;100,"OK","NO")</f>
        <v>OK</v>
      </c>
      <c r="L83" s="9"/>
      <c r="M83" s="9"/>
      <c r="AH83" s="5" t="s">
        <v>13</v>
      </c>
      <c r="AI83" s="5" t="e">
        <f>--MID(H32,14+3+3+3+3+3+3+3,2)</f>
        <v>#VALUE!</v>
      </c>
      <c r="AJ83" s="5" t="str">
        <f>IF(AJ76="L","T")</f>
        <v>T</v>
      </c>
      <c r="AK83" s="64"/>
      <c r="AL83" s="64">
        <f t="shared" si="0"/>
        <v>0</v>
      </c>
      <c r="AM83" s="64" t="e">
        <f t="shared" si="3"/>
        <v>#VALUE!</v>
      </c>
      <c r="AN83" s="64"/>
      <c r="AO83" s="64">
        <f t="shared" si="4"/>
        <v>0</v>
      </c>
      <c r="AP83" s="64"/>
      <c r="AQ83" s="64">
        <f t="shared" si="1"/>
        <v>0</v>
      </c>
      <c r="AR83" s="64" t="e">
        <f t="shared" si="2"/>
        <v>#VALUE!</v>
      </c>
      <c r="AS83" s="64"/>
      <c r="AT83" s="64">
        <f t="shared" si="5"/>
        <v>0</v>
      </c>
    </row>
    <row r="84" spans="4:46" ht="15" customHeight="1">
      <c r="D84" s="213"/>
      <c r="E84" s="100" t="s">
        <v>141</v>
      </c>
      <c r="F84" s="13"/>
      <c r="G84" s="101" t="str">
        <f>traduzioni!A89</f>
        <v xml:space="preserve">Taux de travail combinaison cisaillement traction </v>
      </c>
      <c r="H84" s="144">
        <f>'CALCOLI STS (slab to slab)'!H97</f>
        <v>51.159367031585113</v>
      </c>
      <c r="I84" s="137"/>
      <c r="J84" s="146" t="s">
        <v>102</v>
      </c>
      <c r="K84" s="80" t="str">
        <f>IF(H84&lt;100,"OK","NO")</f>
        <v>OK</v>
      </c>
      <c r="L84" s="4"/>
      <c r="M84" s="4"/>
      <c r="AH84" s="5" t="s">
        <v>14</v>
      </c>
      <c r="AI84" s="5" t="e">
        <f>--MID(H32,14+3+3+3+3+3+3+3+3,2)</f>
        <v>#VALUE!</v>
      </c>
      <c r="AJ84" s="5" t="str">
        <f>AJ76</f>
        <v>L</v>
      </c>
      <c r="AK84" s="64"/>
      <c r="AL84" s="64" t="e">
        <f t="shared" si="0"/>
        <v>#VALUE!</v>
      </c>
      <c r="AM84" s="64" t="e">
        <f t="shared" si="3"/>
        <v>#VALUE!</v>
      </c>
      <c r="AN84" s="64"/>
      <c r="AO84" s="64" t="e">
        <f t="shared" si="4"/>
        <v>#VALUE!</v>
      </c>
      <c r="AP84" s="64"/>
      <c r="AQ84" s="64">
        <f t="shared" si="1"/>
        <v>0</v>
      </c>
      <c r="AR84" s="64" t="e">
        <f t="shared" si="2"/>
        <v>#VALUE!</v>
      </c>
      <c r="AS84" s="64"/>
      <c r="AT84" s="64">
        <f t="shared" si="5"/>
        <v>0</v>
      </c>
    </row>
    <row r="85" spans="4:46" ht="15" customHeight="1">
      <c r="D85" s="38"/>
      <c r="H85" s="3"/>
      <c r="I85" s="3"/>
      <c r="AH85" s="5" t="s">
        <v>58</v>
      </c>
      <c r="AI85" s="5" t="e">
        <f>--MID(H32,14+3+3+3+3+3+3+3+3+3,2)</f>
        <v>#VALUE!</v>
      </c>
      <c r="AJ85" s="5" t="str">
        <f>IF(AJ76="L","T")</f>
        <v>T</v>
      </c>
      <c r="AK85" s="64"/>
      <c r="AL85" s="64">
        <f t="shared" si="0"/>
        <v>0</v>
      </c>
      <c r="AM85" s="64" t="e">
        <f t="shared" si="3"/>
        <v>#VALUE!</v>
      </c>
      <c r="AN85" s="64"/>
      <c r="AO85" s="64">
        <f t="shared" si="4"/>
        <v>0</v>
      </c>
      <c r="AP85" s="64"/>
      <c r="AQ85" s="64">
        <f t="shared" si="1"/>
        <v>0</v>
      </c>
      <c r="AR85" s="64" t="e">
        <f t="shared" si="2"/>
        <v>#VALUE!</v>
      </c>
      <c r="AS85" s="64"/>
      <c r="AT85" s="64">
        <f t="shared" si="5"/>
        <v>0</v>
      </c>
    </row>
    <row r="86" spans="4:46" ht="15" customHeight="1">
      <c r="D86" s="235" t="str">
        <f>traduzioni!A90</f>
        <v>Vérification ancrage côté béton</v>
      </c>
      <c r="E86" s="134"/>
      <c r="F86" s="10"/>
      <c r="G86" s="71" t="str">
        <f>traduzioni!A91</f>
        <v>Longueur effective</v>
      </c>
      <c r="H86" s="142">
        <f>'CALCOLI STS (slab to slab)'!H101</f>
        <v>180</v>
      </c>
      <c r="I86" s="139"/>
      <c r="J86" s="134" t="s">
        <v>35</v>
      </c>
      <c r="K86" s="11"/>
      <c r="AH86" s="5" t="s">
        <v>59</v>
      </c>
      <c r="AI86" s="5" t="e">
        <f>--MID(H32,14+3+3+3+3+3+3+3+3+3+3,2)</f>
        <v>#VALUE!</v>
      </c>
      <c r="AJ86" s="5" t="str">
        <f>AJ76</f>
        <v>L</v>
      </c>
      <c r="AK86" s="64"/>
      <c r="AL86" s="64" t="e">
        <f t="shared" si="0"/>
        <v>#VALUE!</v>
      </c>
      <c r="AM86" s="64" t="e">
        <f t="shared" si="3"/>
        <v>#VALUE!</v>
      </c>
      <c r="AN86" s="64"/>
      <c r="AO86" s="64" t="e">
        <f>AN86*IF(AL86=0,0,1)</f>
        <v>#VALUE!</v>
      </c>
      <c r="AP86" s="64"/>
      <c r="AQ86" s="64">
        <f t="shared" si="1"/>
        <v>0</v>
      </c>
      <c r="AR86" s="64" t="e">
        <f t="shared" si="2"/>
        <v>#VALUE!</v>
      </c>
      <c r="AS86" s="64"/>
      <c r="AT86" s="64">
        <f>AS86*IF(AQ86=0,0,1)</f>
        <v>0</v>
      </c>
    </row>
    <row r="87" spans="4:46" ht="15" customHeight="1">
      <c r="D87" s="236"/>
      <c r="E87" s="35" t="s">
        <v>139</v>
      </c>
      <c r="F87" s="38"/>
      <c r="G87" s="38" t="str">
        <f>traduzioni!A92</f>
        <v>Longueur minimum ancrage</v>
      </c>
      <c r="H87" s="3">
        <f>'CALCOLI STS (slab to slab)'!H102</f>
        <v>100</v>
      </c>
      <c r="I87" s="3"/>
      <c r="J87" s="2" t="s">
        <v>35</v>
      </c>
      <c r="K87" s="12"/>
      <c r="AK87" s="64"/>
      <c r="AL87" s="64"/>
      <c r="AM87" s="64" t="s">
        <v>290</v>
      </c>
      <c r="AN87" s="64">
        <f>AN76/2</f>
        <v>20</v>
      </c>
      <c r="AO87" s="64" t="s">
        <v>35</v>
      </c>
      <c r="AP87" s="64"/>
      <c r="AQ87" s="64"/>
      <c r="AR87" s="64" t="s">
        <v>290</v>
      </c>
      <c r="AS87" s="64" t="e">
        <f>AS76+AS77/2</f>
        <v>#VALUE!</v>
      </c>
      <c r="AT87" s="64" t="s">
        <v>35</v>
      </c>
    </row>
    <row r="88" spans="4:46" ht="15" customHeight="1">
      <c r="D88" s="236"/>
      <c r="E88" s="96" t="s">
        <v>141</v>
      </c>
      <c r="F88" s="38"/>
      <c r="G88" s="97" t="str">
        <f>traduzioni!A93</f>
        <v xml:space="preserve">Taux de travail </v>
      </c>
      <c r="H88" s="143">
        <f>'CALCOLI STS (slab to slab)'!H103</f>
        <v>55.555555555555557</v>
      </c>
      <c r="I88" s="3"/>
      <c r="J88" s="145" t="s">
        <v>102</v>
      </c>
      <c r="K88" s="79" t="str">
        <f>IF(H88&lt;100,"OK","NO")</f>
        <v>OK</v>
      </c>
      <c r="AK88" s="64"/>
      <c r="AL88" s="64"/>
      <c r="AM88" s="64" t="s">
        <v>291</v>
      </c>
      <c r="AN88" s="65">
        <f>0.5*((AO78^2)+(2*(AO78)*(AO78+AO76))+(AO76^2))/(AO76+AO78)</f>
        <v>20</v>
      </c>
      <c r="AO88" s="64" t="s">
        <v>35</v>
      </c>
      <c r="AP88" s="64"/>
      <c r="AQ88" s="64"/>
      <c r="AR88" s="64" t="s">
        <v>291</v>
      </c>
      <c r="AS88" s="66" t="e">
        <f>+AS76+(0.5*((AT79^2)+(2*(AT79)*(AT79+AT77))+(AT77^2))/(AT77+AT79))</f>
        <v>#VALUE!</v>
      </c>
      <c r="AT88" s="64" t="s">
        <v>35</v>
      </c>
    </row>
    <row r="89" spans="4:46" ht="15" customHeight="1">
      <c r="D89" s="236"/>
      <c r="F89" s="38"/>
      <c r="G89" s="38" t="str">
        <f>traduzioni!A94</f>
        <v>Longueur effective</v>
      </c>
      <c r="H89" s="3">
        <f>'CALCOLI STS (slab to slab)'!H107</f>
        <v>160</v>
      </c>
      <c r="I89" s="16"/>
      <c r="J89" s="2" t="s">
        <v>35</v>
      </c>
      <c r="K89" s="12"/>
      <c r="AK89" s="64"/>
      <c r="AL89" s="64"/>
      <c r="AM89" s="64"/>
      <c r="AN89" s="65">
        <f>MIN(AN87,AN88)</f>
        <v>20</v>
      </c>
      <c r="AO89" s="64" t="s">
        <v>35</v>
      </c>
      <c r="AP89" s="64"/>
      <c r="AQ89" s="64"/>
      <c r="AR89" s="64"/>
      <c r="AS89" s="66" t="e">
        <f>MIN(AS87,AS88)</f>
        <v>#VALUE!</v>
      </c>
      <c r="AT89" s="64" t="s">
        <v>35</v>
      </c>
    </row>
    <row r="90" spans="4:46" ht="15" customHeight="1">
      <c r="D90" s="236"/>
      <c r="E90" s="35" t="s">
        <v>144</v>
      </c>
      <c r="F90" s="38"/>
      <c r="G90" s="38" t="str">
        <f>traduzioni!A95</f>
        <v>Longueur minimum overlap</v>
      </c>
      <c r="H90" s="2">
        <f>'CALCOLI STS (slab to slab)'!H106</f>
        <v>154</v>
      </c>
      <c r="J90" s="2" t="s">
        <v>35</v>
      </c>
      <c r="K90" s="12"/>
      <c r="R90" s="4"/>
      <c r="X90" s="64"/>
      <c r="Y90" s="64"/>
      <c r="Z90" s="64"/>
      <c r="AA90" s="64"/>
      <c r="AB90" s="64"/>
      <c r="AC90" s="64"/>
      <c r="AD90" s="64"/>
      <c r="AE90" s="64"/>
      <c r="AF90" s="64"/>
      <c r="AG90" s="64"/>
      <c r="AH90" s="64"/>
    </row>
    <row r="91" spans="4:46" ht="15" customHeight="1">
      <c r="D91" s="237"/>
      <c r="E91" s="100" t="s">
        <v>146</v>
      </c>
      <c r="F91" s="74"/>
      <c r="G91" s="101" t="str">
        <f>traduzioni!A96</f>
        <v>Taux de travail</v>
      </c>
      <c r="H91" s="144">
        <f>'CALCOLI STS (slab to slab)'!H108</f>
        <v>96.25</v>
      </c>
      <c r="I91" s="138"/>
      <c r="J91" s="146" t="s">
        <v>102</v>
      </c>
      <c r="K91" s="80" t="str">
        <f>IF(H91&lt;100,"OK","NO")</f>
        <v>OK</v>
      </c>
      <c r="R91" s="18"/>
      <c r="X91" s="64"/>
      <c r="Y91" s="64"/>
      <c r="Z91" s="64"/>
      <c r="AA91" s="64"/>
      <c r="AB91" s="64"/>
      <c r="AC91" s="64"/>
      <c r="AD91" s="64"/>
      <c r="AE91" s="64"/>
      <c r="AF91" s="64"/>
      <c r="AG91" s="64"/>
      <c r="AH91" s="64"/>
    </row>
    <row r="92" spans="4:46" ht="15" customHeight="1">
      <c r="D92" s="38"/>
      <c r="H92" s="16"/>
      <c r="R92" s="4"/>
      <c r="X92" s="64"/>
      <c r="Y92" s="64"/>
      <c r="Z92" s="64"/>
      <c r="AA92" s="64"/>
      <c r="AB92" s="64"/>
      <c r="AC92" s="64"/>
      <c r="AD92" s="64"/>
      <c r="AE92" s="64"/>
      <c r="AF92" s="64"/>
      <c r="AG92" s="64"/>
      <c r="AH92" s="64"/>
    </row>
    <row r="93" spans="4:46" ht="15" customHeight="1">
      <c r="D93" s="235" t="str">
        <f>traduzioni!A97</f>
        <v>Rigidités</v>
      </c>
      <c r="E93" s="70" t="s">
        <v>252</v>
      </c>
      <c r="F93" s="71"/>
      <c r="G93" s="71" t="str">
        <f>traduzioni!A98</f>
        <v>Rigidité au cisaillement</v>
      </c>
      <c r="H93" s="139">
        <f>'CALCOLI STS (slab to slab)'!H110</f>
        <v>19283.483171659776</v>
      </c>
      <c r="I93" s="134"/>
      <c r="J93" s="134" t="str">
        <f>'CALCOLI STS (slab to slab)'!J110</f>
        <v>[N/mm/m]</v>
      </c>
      <c r="K93" s="232" t="str">
        <f>traduzioni!A222</f>
        <v>(*) doubler la rigidité dans le cas d'un assemblage non symétrique avec un seul plan de connexion</v>
      </c>
    </row>
    <row r="94" spans="4:46" ht="15" customHeight="1">
      <c r="D94" s="236"/>
      <c r="E94" s="35" t="s">
        <v>270</v>
      </c>
      <c r="F94" s="38"/>
      <c r="G94" s="38" t="str">
        <f>traduzioni!A99</f>
        <v>Rigidité axiale</v>
      </c>
      <c r="H94" s="3">
        <f>'CALCOLI STS (slab to slab)'!H122</f>
        <v>302500</v>
      </c>
      <c r="J94" s="2" t="str">
        <f>'CALCOLI STS (slab to slab)'!J122</f>
        <v>[N/mm/m]</v>
      </c>
      <c r="K94" s="233"/>
      <c r="U94" s="37"/>
      <c r="V94" s="37"/>
      <c r="W94" s="37"/>
      <c r="X94" s="37"/>
    </row>
    <row r="95" spans="4:46" ht="15" customHeight="1">
      <c r="D95" s="237"/>
      <c r="E95" s="73" t="s">
        <v>285</v>
      </c>
      <c r="F95" s="74"/>
      <c r="G95" s="74" t="str">
        <f>traduzioni!A100</f>
        <v>Rigidité en rotation (*)</v>
      </c>
      <c r="H95" s="141">
        <f>'CALCOLI STS (slab to slab)'!H129</f>
        <v>5181.3344755428316</v>
      </c>
      <c r="I95" s="138"/>
      <c r="J95" s="138" t="str">
        <f>'CALCOLI STS (slab to slab)'!J129</f>
        <v>[kNmm/Rad/m]</v>
      </c>
      <c r="K95" s="234"/>
      <c r="U95" s="37"/>
    </row>
    <row r="96" spans="4:46" ht="15" customHeight="1">
      <c r="D96" s="38"/>
      <c r="H96" s="16"/>
      <c r="S96" s="4"/>
      <c r="U96" s="37"/>
      <c r="W96" s="4"/>
    </row>
    <row r="97" spans="4:23">
      <c r="D97" s="38"/>
      <c r="S97" s="4"/>
      <c r="U97" s="37"/>
      <c r="W97" s="4"/>
    </row>
    <row r="98" spans="4:23">
      <c r="J98" s="181"/>
      <c r="U98" s="37"/>
    </row>
    <row r="99" spans="4:23">
      <c r="D99" s="38"/>
      <c r="H99" s="16"/>
      <c r="I99" s="16"/>
      <c r="U99" s="37"/>
    </row>
    <row r="100" spans="4:23">
      <c r="D100" s="38"/>
      <c r="E100" s="181"/>
      <c r="H100" s="16"/>
      <c r="S100" s="4"/>
      <c r="U100" s="37"/>
      <c r="W100" s="4"/>
    </row>
    <row r="101" spans="4:23">
      <c r="D101" s="38"/>
      <c r="E101" s="17"/>
      <c r="H101" s="16"/>
      <c r="I101" s="16"/>
      <c r="U101" s="37"/>
      <c r="W101" s="4"/>
    </row>
    <row r="102" spans="4:23">
      <c r="D102" s="38"/>
      <c r="E102" s="17"/>
      <c r="H102" s="16"/>
      <c r="N102" s="7"/>
    </row>
    <row r="103" spans="4:23">
      <c r="D103" s="38"/>
      <c r="E103" s="17"/>
      <c r="H103" s="16"/>
      <c r="N103" s="8"/>
    </row>
    <row r="104" spans="4:23"/>
    <row r="105" spans="4:23"/>
    <row r="106" spans="4:23" hidden="1">
      <c r="D106" s="38"/>
      <c r="H106" s="3"/>
      <c r="I106" s="3"/>
    </row>
    <row r="107" spans="4:23" hidden="1">
      <c r="D107" s="38"/>
      <c r="H107" s="3"/>
      <c r="I107" s="3"/>
    </row>
    <row r="108" spans="4:23" hidden="1">
      <c r="D108" s="38"/>
    </row>
    <row r="109" spans="4:23" hidden="1">
      <c r="D109" s="38"/>
    </row>
    <row r="110" spans="4:23" hidden="1">
      <c r="D110" s="38"/>
      <c r="E110" s="17"/>
      <c r="H110" s="16"/>
      <c r="I110" s="16"/>
    </row>
    <row r="111" spans="4:23" hidden="1">
      <c r="D111" s="38"/>
    </row>
    <row r="112" spans="4:23" hidden="1">
      <c r="D112" s="38"/>
      <c r="H112" s="16"/>
      <c r="I112" s="16"/>
    </row>
    <row r="113" spans="4:9" hidden="1">
      <c r="D113" s="38"/>
    </row>
    <row r="114" spans="4:9" hidden="1">
      <c r="D114" s="38"/>
    </row>
    <row r="115" spans="4:9" hidden="1">
      <c r="D115" s="38"/>
      <c r="E115" s="17"/>
      <c r="H115" s="16"/>
      <c r="I115" s="16"/>
    </row>
    <row r="116" spans="4:9" hidden="1">
      <c r="D116" s="35"/>
      <c r="E116" s="17"/>
      <c r="H116" s="16"/>
      <c r="I116" s="16"/>
    </row>
    <row r="117" spans="4:9" hidden="1">
      <c r="D117" s="38"/>
      <c r="E117" s="17"/>
      <c r="H117" s="16"/>
      <c r="I117" s="16"/>
    </row>
    <row r="118" spans="4:9" hidden="1">
      <c r="D118" s="38"/>
      <c r="H118" s="16"/>
      <c r="I118" s="16"/>
    </row>
    <row r="119" spans="4:9" hidden="1">
      <c r="D119" s="38"/>
    </row>
    <row r="120" spans="4:9" hidden="1">
      <c r="D120" s="38"/>
    </row>
    <row r="121" spans="4:9" hidden="1">
      <c r="D121" s="38"/>
    </row>
    <row r="122" spans="4:9" hidden="1">
      <c r="D122" s="38"/>
      <c r="G122" s="34"/>
      <c r="H122"/>
    </row>
    <row r="123" spans="4:9" hidden="1">
      <c r="D123" s="38"/>
      <c r="G123" s="34"/>
      <c r="H123"/>
    </row>
    <row r="124" spans="4:9" hidden="1">
      <c r="D124" s="38"/>
      <c r="G124" s="34"/>
      <c r="H124"/>
    </row>
    <row r="125" spans="4:9" hidden="1">
      <c r="D125" s="38"/>
    </row>
    <row r="126" spans="4:9" hidden="1">
      <c r="D126" s="38"/>
      <c r="H126" s="3"/>
    </row>
    <row r="127" spans="4:9" hidden="1">
      <c r="D127" s="38"/>
      <c r="H127" s="3"/>
    </row>
    <row r="128" spans="4:9" hidden="1">
      <c r="D128" s="38"/>
      <c r="H128" s="3"/>
    </row>
    <row r="129" spans="4:8" hidden="1">
      <c r="D129" s="38"/>
      <c r="H129" s="3"/>
    </row>
    <row r="130" spans="4:8" hidden="1">
      <c r="D130" s="38"/>
      <c r="H130" s="3"/>
    </row>
    <row r="131" spans="4:8" hidden="1">
      <c r="D131" s="38"/>
      <c r="H131" s="3"/>
    </row>
    <row r="132" spans="4:8" hidden="1">
      <c r="D132" s="38"/>
      <c r="H132" s="3"/>
    </row>
    <row r="133" spans="4:8" hidden="1">
      <c r="D133" s="38"/>
      <c r="H133" s="3"/>
    </row>
    <row r="134" spans="4:8" hidden="1">
      <c r="D134" s="38"/>
      <c r="H134" s="3"/>
    </row>
    <row r="135" spans="4:8" hidden="1">
      <c r="D135" s="38"/>
      <c r="H135" s="3"/>
    </row>
    <row r="136" spans="4:8" hidden="1">
      <c r="D136" s="38"/>
      <c r="H136" s="36"/>
    </row>
    <row r="137" spans="4:8" hidden="1">
      <c r="D137" s="38"/>
      <c r="H137" s="3"/>
    </row>
    <row r="138" spans="4:8" hidden="1">
      <c r="D138" s="38"/>
      <c r="E138" s="67"/>
      <c r="H138" s="36"/>
    </row>
    <row r="139" spans="4:8" hidden="1">
      <c r="D139" s="38"/>
      <c r="H139" s="3"/>
    </row>
    <row r="140" spans="4:8" hidden="1">
      <c r="D140" s="38"/>
    </row>
    <row r="141" spans="4:8" hidden="1">
      <c r="D141" s="38"/>
    </row>
  </sheetData>
  <sheetProtection algorithmName="SHA-512" hashValue="N4aRcdi0kxwAxxDZ1GB/9pIcc0Nze+QuRAKP7pRNCCq38B+BW4vVwXU1jsTUAyNLkI5i78wvhYHA62I7tV5b1w==" saltValue="eTI0YiKw2l+FFKEchNhnAw==" spinCount="100000" sheet="1" objects="1" scenarios="1" selectLockedCells="1"/>
  <mergeCells count="22">
    <mergeCell ref="K93:K95"/>
    <mergeCell ref="D13:D15"/>
    <mergeCell ref="D78:D84"/>
    <mergeCell ref="D86:D91"/>
    <mergeCell ref="D93:D95"/>
    <mergeCell ref="D66:D76"/>
    <mergeCell ref="AL75:AO75"/>
    <mergeCell ref="AQ75:AT75"/>
    <mergeCell ref="D19:D28"/>
    <mergeCell ref="D30:D34"/>
    <mergeCell ref="D36:D49"/>
    <mergeCell ref="D51:D59"/>
    <mergeCell ref="I34:K34"/>
    <mergeCell ref="H32:J32"/>
    <mergeCell ref="D61:D64"/>
    <mergeCell ref="K71:K73"/>
    <mergeCell ref="K54:K56"/>
    <mergeCell ref="D8:D11"/>
    <mergeCell ref="H11:K11"/>
    <mergeCell ref="H9:K9"/>
    <mergeCell ref="H10:K10"/>
    <mergeCell ref="E2:J6"/>
  </mergeCells>
  <conditionalFormatting sqref="H71">
    <cfRule type="containsText" dxfId="45" priority="23" operator="containsText" text="YES &gt;">
      <formula>NOT(ISERROR(SEARCH("YES &gt;",H71)))</formula>
    </cfRule>
    <cfRule type="containsText" dxfId="44" priority="24" operator="containsText" text="NO, INCREASE a4 to">
      <formula>NOT(ISERROR(SEARCH("NO, INCREASE a4 to",H71)))</formula>
    </cfRule>
  </conditionalFormatting>
  <conditionalFormatting sqref="I42">
    <cfRule type="expression" dxfId="43" priority="25">
      <formula>IF($H$42="N",TRUE)</formula>
    </cfRule>
  </conditionalFormatting>
  <conditionalFormatting sqref="K40">
    <cfRule type="containsText" dxfId="42" priority="18" operator="containsText" text="emin&lt;esup&lt;emax">
      <formula>NOT(ISERROR(SEARCH("emin&lt;esup&lt;emax",K40)))</formula>
    </cfRule>
  </conditionalFormatting>
  <conditionalFormatting sqref="K40:K41">
    <cfRule type="containsText" dxfId="41" priority="16" operator="containsText" text="out of min/max spacing!">
      <formula>NOT(ISERROR(SEARCH("out of min/max spacing!",K40)))</formula>
    </cfRule>
  </conditionalFormatting>
  <conditionalFormatting sqref="K41">
    <cfRule type="containsText" dxfId="40" priority="17" operator="containsText" text="emin&lt;einf&lt;emax">
      <formula>NOT(ISERROR(SEARCH("emin&lt;einf&lt;emax",K41)))</formula>
    </cfRule>
  </conditionalFormatting>
  <conditionalFormatting sqref="K47">
    <cfRule type="containsText" dxfId="39" priority="19" operator="containsText" text="leff&gt;leff,min">
      <formula>NOT(ISERROR(SEARCH("leff&gt;leff,min",K47)))</formula>
    </cfRule>
    <cfRule type="containsText" dxfId="38" priority="20" operator="containsText" text="leff&lt;leff,min">
      <formula>NOT(ISERROR(SEARCH("leff&lt;leff,min",K47)))</formula>
    </cfRule>
  </conditionalFormatting>
  <conditionalFormatting sqref="K49">
    <cfRule type="containsText" dxfId="37" priority="14" operator="containsText" text="a4&gt;a4min">
      <formula>NOT(ISERROR(SEARCH("a4&gt;a4min",K49)))</formula>
    </cfRule>
    <cfRule type="containsText" dxfId="36" priority="15" operator="containsText" text="a4&lt;a4min">
      <formula>NOT(ISERROR(SEARCH("a4&lt;a4min",K49)))</formula>
    </cfRule>
  </conditionalFormatting>
  <conditionalFormatting sqref="K51">
    <cfRule type="containsText" dxfId="35" priority="11" operator="containsText" text="OK">
      <formula>NOT(ISERROR(SEARCH("OK",K51)))</formula>
    </cfRule>
  </conditionalFormatting>
  <conditionalFormatting sqref="K51:K52">
    <cfRule type="containsText" dxfId="34" priority="12" operator="containsText" text="NOT COVERED BY ETA">
      <formula>NOT(ISERROR(SEARCH("NOT COVERED BY ETA",K51)))</formula>
    </cfRule>
  </conditionalFormatting>
  <conditionalFormatting sqref="K74">
    <cfRule type="containsText" dxfId="33" priority="21" operator="containsText" text="l&gt;lmin">
      <formula>NOT(ISERROR(SEARCH("l&gt;lmin",K74)))</formula>
    </cfRule>
    <cfRule type="containsText" dxfId="32" priority="22" operator="containsText" text="l&lt;lmin">
      <formula>NOT(ISERROR(SEARCH("l&lt;lmin",K74)))</formula>
    </cfRule>
  </conditionalFormatting>
  <conditionalFormatting sqref="P51:P52">
    <cfRule type="cellIs" dxfId="31" priority="42" operator="lessThanOrEqual">
      <formula>MIN(#REF!,$P$51,$P$52)</formula>
    </cfRule>
  </conditionalFormatting>
  <conditionalFormatting sqref="P54:P55">
    <cfRule type="cellIs" dxfId="30" priority="31" operator="lessThanOrEqual">
      <formula>MIN($P$54,$P$55)</formula>
    </cfRule>
  </conditionalFormatting>
  <conditionalFormatting sqref="Q51:Q52">
    <cfRule type="cellIs" dxfId="29" priority="43" operator="lessThanOrEqual">
      <formula>MIN(#REF!,$Q$51,$Q$52)</formula>
    </cfRule>
  </conditionalFormatting>
  <conditionalFormatting sqref="Q54:Q55">
    <cfRule type="cellIs" dxfId="28" priority="30" operator="lessThanOrEqual">
      <formula>MIN($Q$54,$Q$55)</formula>
    </cfRule>
  </conditionalFormatting>
  <conditionalFormatting sqref="R51:R52">
    <cfRule type="cellIs" dxfId="27" priority="44" operator="lessThanOrEqual">
      <formula>MIN(#REF!,$R$51,$R$52)</formula>
    </cfRule>
  </conditionalFormatting>
  <conditionalFormatting sqref="R54:R55">
    <cfRule type="cellIs" dxfId="26" priority="29" operator="lessThanOrEqual">
      <formula>MIN($R$54,$R$55)</formula>
    </cfRule>
  </conditionalFormatting>
  <conditionalFormatting sqref="U56:U57">
    <cfRule type="containsText" dxfId="25" priority="27" operator="containsText" text="NO">
      <formula>NOT(ISERROR(SEARCH("NO",U56)))</formula>
    </cfRule>
    <cfRule type="containsText" dxfId="24" priority="28" operator="containsText" text="OK Annex E8">
      <formula>NOT(ISERROR(SEARCH("OK Annex E8",U56)))</formula>
    </cfRule>
  </conditionalFormatting>
  <conditionalFormatting sqref="K91">
    <cfRule type="containsText" dxfId="23" priority="9" operator="containsText" text="NO">
      <formula>NOT(ISERROR(SEARCH("NO",K91)))</formula>
    </cfRule>
    <cfRule type="containsText" dxfId="22" priority="10" operator="containsText" text="OK">
      <formula>NOT(ISERROR(SEARCH("OK",K91)))</formula>
    </cfRule>
  </conditionalFormatting>
  <conditionalFormatting sqref="K88">
    <cfRule type="containsText" dxfId="21" priority="7" operator="containsText" text="NO">
      <formula>NOT(ISERROR(SEARCH("NO",K88)))</formula>
    </cfRule>
    <cfRule type="containsText" dxfId="20" priority="8" operator="containsText" text="OK">
      <formula>NOT(ISERROR(SEARCH("OK",K88)))</formula>
    </cfRule>
  </conditionalFormatting>
  <conditionalFormatting sqref="K80">
    <cfRule type="containsText" dxfId="19" priority="5" operator="containsText" text="NO">
      <formula>NOT(ISERROR(SEARCH("NO",K80)))</formula>
    </cfRule>
    <cfRule type="containsText" dxfId="18" priority="6" operator="containsText" text="OK">
      <formula>NOT(ISERROR(SEARCH("OK",K80)))</formula>
    </cfRule>
  </conditionalFormatting>
  <conditionalFormatting sqref="K83">
    <cfRule type="containsText" dxfId="17" priority="3" operator="containsText" text="NO">
      <formula>NOT(ISERROR(SEARCH("NO",K83)))</formula>
    </cfRule>
    <cfRule type="containsText" dxfId="16" priority="4" operator="containsText" text="OK">
      <formula>NOT(ISERROR(SEARCH("OK",K83)))</formula>
    </cfRule>
  </conditionalFormatting>
  <conditionalFormatting sqref="K84">
    <cfRule type="containsText" dxfId="15" priority="1" operator="containsText" text="NO">
      <formula>NOT(ISERROR(SEARCH("NO",K84)))</formula>
    </cfRule>
    <cfRule type="containsText" dxfId="14" priority="2" operator="containsText" text="OK">
      <formula>NOT(ISERROR(SEARCH("OK",K84)))</formula>
    </cfRule>
  </conditionalFormatting>
  <dataValidations count="12">
    <dataValidation type="list" allowBlank="1" showInputMessage="1" showErrorMessage="1" sqref="H34" xr:uid="{436F0328-287B-44B4-A82A-D11308D86725}">
      <formula1>"L,T"</formula1>
    </dataValidation>
    <dataValidation type="list" allowBlank="1" showInputMessage="1" showErrorMessage="1" sqref="H40:H41" xr:uid="{38540666-05E7-4235-A97D-FA421C685E61}">
      <formula1>"100,125,150,175,200,225,250,275,300"</formula1>
    </dataValidation>
    <dataValidation type="list" allowBlank="1" showInputMessage="1" showErrorMessage="1" sqref="H14" xr:uid="{0CDB233D-3F07-46C8-ACB4-4CB043B4CA84}">
      <formula1>"EC 1995-1-1:2014,NTC 2018 (ITA)"</formula1>
    </dataValidation>
    <dataValidation type="list" allowBlank="1" showInputMessage="1" showErrorMessage="1" sqref="H37" xr:uid="{6AC63F46-7A57-4455-BE40-0E13377ABBD7}">
      <formula1>INDIRECT($H$36)</formula1>
    </dataValidation>
    <dataValidation type="list" allowBlank="1" showInputMessage="1" showErrorMessage="1" sqref="H36" xr:uid="{F8A72272-5E03-453A-9437-915870184E0A}">
      <formula1>SCREWS</formula1>
    </dataValidation>
    <dataValidation type="list" allowBlank="1" showInputMessage="1" showErrorMessage="1" sqref="H53" xr:uid="{D626F2B8-FCD4-42CD-8096-69EE542031C4}">
      <formula1>"6,8,10,12,14,16,18,20"</formula1>
    </dataValidation>
    <dataValidation type="list" allowBlank="1" showInputMessage="1" showErrorMessage="1" sqref="H52" xr:uid="{DB3D8827-99AD-46C4-8B33-9E6ED2863D53}">
      <formula1>"5,6,8,10"</formula1>
    </dataValidation>
    <dataValidation type="list" allowBlank="1" showInputMessage="1" showErrorMessage="1" sqref="H32" xr:uid="{89B19559-5968-41D6-9338-F452AB80A700}">
      <formula1>INDIRECT($H$31)</formula1>
    </dataValidation>
    <dataValidation type="list" allowBlank="1" showInputMessage="1" showErrorMessage="1" sqref="H31" xr:uid="{AFEE0E1D-FCFA-441D-B8D9-8232C63A7D89}">
      <formula1>LAYER</formula1>
    </dataValidation>
    <dataValidation type="list" allowBlank="1" showInputMessage="1" showErrorMessage="1" sqref="H42 H16:H17" xr:uid="{4F5D7D07-0579-470B-B32A-BEF40D59FAE2}">
      <formula1>"Y,N"</formula1>
    </dataValidation>
    <dataValidation type="list" allowBlank="1" showInputMessage="1" showErrorMessage="1" sqref="K8" xr:uid="{7DAFB497-D303-4D09-97BA-679CE7EC371B}">
      <formula1>"IT,EN,DE,ES,FR,PT"</formula1>
    </dataValidation>
    <dataValidation type="list" allowBlank="1" showInputMessage="1" showErrorMessage="1" sqref="H15" xr:uid="{5ED9AF1D-83A9-4910-9952-64CF3F244E5D}">
      <formula1>"EC 1992-1-1:2015,NTC 2018 (ITA)"</formula1>
    </dataValidation>
  </dataValidations>
  <pageMargins left="0.7" right="0.7"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CB9AE43-FBD5-4B30-8683-2B98869F5B71}">
          <x14:formula1>
            <xm:f>CLT!$W$9:$W$14</xm:f>
          </x14:formula1>
          <xm:sqref>H19</xm:sqref>
        </x14:dataValidation>
        <x14:dataValidation type="list" allowBlank="1" showInputMessage="1" showErrorMessage="1" xr:uid="{0D6AB935-CBE0-4FD8-BA89-5BADFFBD3BFE}">
          <x14:formula1>
            <xm:f>CLT!$F$11:$F$13</xm:f>
          </x14:formula1>
          <xm:sqref>H30</xm:sqref>
        </x14:dataValidation>
        <x14:dataValidation type="list" allowBlank="1" showInputMessage="1" showErrorMessage="1" xr:uid="{45C7ADDF-73F0-4E6C-A6D2-1BDD08A780BA}">
          <x14:formula1>
            <xm:f>CONCRETE!$C$26:$C$35</xm:f>
          </x14:formula1>
          <xm:sqref>H51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F0F4-2353-40CB-816F-5DEFC7ECECBD}">
  <sheetPr codeName="Foglio2">
    <tabColor rgb="FF92D050"/>
  </sheetPr>
  <dimension ref="C2:AK139"/>
  <sheetViews>
    <sheetView showGridLines="0" showRowColHeaders="0" topLeftCell="C62" zoomScaleNormal="100" workbookViewId="0">
      <selection activeCell="I70" sqref="I70"/>
    </sheetView>
  </sheetViews>
  <sheetFormatPr baseColWidth="10" defaultColWidth="0" defaultRowHeight="15" customHeight="1"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6384" width="9" hidden="1"/>
  </cols>
  <sheetData>
    <row r="2" spans="4:16" ht="15" hidden="1" customHeight="1">
      <c r="D2" s="247" t="s">
        <v>54</v>
      </c>
      <c r="E2" s="46"/>
      <c r="F2" s="45"/>
      <c r="G2" s="45" t="s">
        <v>75</v>
      </c>
      <c r="H2" s="46" t="str">
        <f>GEOMETRY!H19</f>
        <v>Brève/Instantanée</v>
      </c>
      <c r="I2" s="46"/>
      <c r="J2" s="46"/>
      <c r="K2" s="47"/>
      <c r="L2" s="44" t="str">
        <f>GEOMETRY!H14</f>
        <v>EC 1995-1-1:2014</v>
      </c>
      <c r="M2" s="44"/>
      <c r="N2" s="44"/>
      <c r="O2" s="44"/>
      <c r="P2" s="44"/>
    </row>
    <row r="3" spans="4:16" ht="15" hidden="1" customHeight="1">
      <c r="D3" s="248"/>
      <c r="E3" s="48"/>
      <c r="F3" s="44"/>
      <c r="G3" s="44"/>
      <c r="H3" s="48"/>
      <c r="I3" s="48"/>
      <c r="J3" s="48"/>
      <c r="K3" s="49"/>
    </row>
    <row r="4" spans="4:16" ht="15" hidden="1" customHeight="1">
      <c r="D4" s="248"/>
      <c r="E4" s="48" t="s">
        <v>149</v>
      </c>
      <c r="F4" s="44"/>
      <c r="G4" s="44" t="s">
        <v>153</v>
      </c>
      <c r="H4" s="48">
        <f>GEOMETRY!H21</f>
        <v>1000</v>
      </c>
      <c r="I4" s="48"/>
      <c r="J4" s="48" t="s">
        <v>35</v>
      </c>
      <c r="K4" s="49"/>
    </row>
    <row r="5" spans="4:16" ht="15" hidden="1" customHeight="1">
      <c r="D5" s="248"/>
      <c r="E5" s="48"/>
      <c r="F5" s="44"/>
      <c r="G5" s="44"/>
      <c r="H5" s="48"/>
      <c r="I5" s="48"/>
      <c r="J5" s="48"/>
      <c r="K5" s="49"/>
    </row>
    <row r="6" spans="4:16" ht="15" hidden="1" customHeight="1">
      <c r="D6" s="248"/>
      <c r="E6" s="48" t="s">
        <v>233</v>
      </c>
      <c r="F6" s="44"/>
      <c r="G6" s="44" t="s">
        <v>232</v>
      </c>
      <c r="H6" s="48">
        <f>GEOMETRY!H23</f>
        <v>0</v>
      </c>
      <c r="I6" s="48"/>
      <c r="J6" s="48" t="s">
        <v>250</v>
      </c>
      <c r="K6" s="49"/>
    </row>
    <row r="7" spans="4:16" ht="15" hidden="1" customHeight="1">
      <c r="D7" s="248"/>
      <c r="E7" s="48" t="s">
        <v>150</v>
      </c>
      <c r="F7" s="44"/>
      <c r="G7" s="44" t="s">
        <v>151</v>
      </c>
      <c r="H7" s="48">
        <f>GEOMETRY!H24</f>
        <v>0</v>
      </c>
      <c r="I7" s="48"/>
      <c r="J7" s="48" t="s">
        <v>250</v>
      </c>
      <c r="K7" s="49"/>
    </row>
    <row r="8" spans="4:16" ht="15" hidden="1" customHeight="1">
      <c r="D8" s="248"/>
      <c r="E8" s="48" t="s">
        <v>304</v>
      </c>
      <c r="F8" s="44"/>
      <c r="G8" s="44" t="s">
        <v>152</v>
      </c>
      <c r="H8" s="48">
        <f>GEOMETRY!H25</f>
        <v>0</v>
      </c>
      <c r="I8" s="48"/>
      <c r="J8" s="48" t="s">
        <v>250</v>
      </c>
      <c r="K8" s="49"/>
    </row>
    <row r="9" spans="4:16" ht="15" hidden="1" customHeight="1">
      <c r="D9" s="248"/>
      <c r="E9" s="48" t="s">
        <v>228</v>
      </c>
      <c r="F9" s="44"/>
      <c r="G9" s="44" t="s">
        <v>229</v>
      </c>
      <c r="H9" s="48">
        <f>GEOMETRY!H26</f>
        <v>11.9</v>
      </c>
      <c r="I9" s="48"/>
      <c r="J9" s="48" t="s">
        <v>251</v>
      </c>
      <c r="K9" s="49"/>
    </row>
    <row r="10" spans="4:16" ht="15" hidden="1" customHeight="1">
      <c r="D10" s="248"/>
      <c r="E10" s="48"/>
      <c r="F10" s="44"/>
      <c r="G10" s="44" t="str">
        <f>IF(H10="POS","Fibre inferiori tese", IF(H10="NEG","Fibre superiori tese","NO"))</f>
        <v>Fibre inferiori tese</v>
      </c>
      <c r="H10" s="48" t="str">
        <f>GEOMETRY!H27</f>
        <v>POS</v>
      </c>
      <c r="I10" s="48"/>
      <c r="J10" s="48"/>
      <c r="K10" s="49"/>
      <c r="L10" s="44"/>
      <c r="M10" s="44"/>
      <c r="N10" s="44"/>
      <c r="O10" s="44"/>
      <c r="P10" s="44"/>
    </row>
    <row r="11" spans="4:16" ht="15" hidden="1" customHeight="1">
      <c r="D11" s="248"/>
      <c r="E11" s="48"/>
      <c r="F11" s="44"/>
      <c r="G11" s="44"/>
      <c r="H11" s="48"/>
      <c r="I11" s="48"/>
      <c r="J11" s="48"/>
      <c r="K11" s="49"/>
      <c r="L11" s="44"/>
      <c r="M11" s="44"/>
      <c r="N11" s="44"/>
      <c r="O11" s="44"/>
      <c r="P11" s="44"/>
    </row>
    <row r="12" spans="4:16" ht="15" hidden="1" customHeight="1">
      <c r="D12" s="248"/>
      <c r="E12" s="48"/>
      <c r="F12" s="44"/>
      <c r="G12" s="44"/>
      <c r="H12" s="48"/>
      <c r="I12" s="48"/>
      <c r="J12" s="48"/>
      <c r="K12" s="49"/>
      <c r="L12" s="44"/>
      <c r="M12" s="44"/>
      <c r="N12" s="44"/>
      <c r="O12" s="44"/>
      <c r="P12" s="44"/>
    </row>
    <row r="13" spans="4:16" ht="15" hidden="1" customHeight="1">
      <c r="D13" s="248"/>
      <c r="E13" s="48"/>
      <c r="F13" s="44"/>
      <c r="G13" s="44"/>
      <c r="H13" s="48"/>
      <c r="I13" s="48"/>
      <c r="J13" s="48"/>
      <c r="K13" s="49"/>
      <c r="L13" s="44"/>
      <c r="M13" s="44"/>
      <c r="N13" s="44"/>
      <c r="O13" s="44"/>
      <c r="P13" s="44"/>
    </row>
    <row r="14" spans="4:16" ht="15" hidden="1" customHeight="1">
      <c r="D14" s="249"/>
      <c r="E14" s="52" t="s">
        <v>244</v>
      </c>
      <c r="F14" s="51"/>
      <c r="G14" s="51" t="s">
        <v>245</v>
      </c>
      <c r="H14" s="52">
        <f>GEOMETRY!H28</f>
        <v>0</v>
      </c>
      <c r="I14" s="52"/>
      <c r="J14" s="52" t="s">
        <v>251</v>
      </c>
      <c r="K14" s="53"/>
      <c r="L14" s="44"/>
      <c r="M14" s="44"/>
      <c r="N14" s="44"/>
      <c r="O14" s="44"/>
      <c r="P14" s="44"/>
    </row>
    <row r="15" spans="4:16" ht="15" hidden="1" customHeight="1">
      <c r="D15" s="44"/>
      <c r="E15" s="48"/>
      <c r="F15" s="44"/>
      <c r="G15" s="44"/>
      <c r="H15" s="48"/>
      <c r="I15" s="48"/>
      <c r="J15" s="48"/>
      <c r="K15" s="44"/>
      <c r="L15" s="44"/>
      <c r="M15" s="44"/>
      <c r="N15" s="44"/>
      <c r="O15" s="44"/>
      <c r="P15" s="44"/>
    </row>
    <row r="16" spans="4:16" ht="15" hidden="1" customHeight="1">
      <c r="D16" s="247" t="s">
        <v>0</v>
      </c>
      <c r="E16" s="46"/>
      <c r="F16" s="45"/>
      <c r="G16" s="45" t="s">
        <v>82</v>
      </c>
      <c r="H16" s="46" t="str">
        <f>GEOMETRY!H30</f>
        <v>C24</v>
      </c>
      <c r="I16" s="46"/>
      <c r="J16" s="46"/>
      <c r="K16" s="47"/>
      <c r="L16" s="44"/>
      <c r="M16" s="44"/>
      <c r="N16" s="44"/>
      <c r="O16" s="44"/>
      <c r="P16" s="44"/>
    </row>
    <row r="17" spans="4:17" ht="15" hidden="1" customHeight="1">
      <c r="D17" s="248"/>
      <c r="E17" s="48"/>
      <c r="F17" s="44"/>
      <c r="G17" s="44" t="s">
        <v>17</v>
      </c>
      <c r="H17" s="48" t="str">
        <f>GEOMETRY!H31</f>
        <v>L_7</v>
      </c>
      <c r="I17" s="48"/>
      <c r="J17" s="48"/>
      <c r="K17" s="49"/>
      <c r="L17" s="44"/>
      <c r="M17" s="44"/>
      <c r="N17" s="44"/>
      <c r="O17" s="44"/>
      <c r="P17" s="44"/>
    </row>
    <row r="18" spans="4:17" ht="15" hidden="1" customHeight="1">
      <c r="D18" s="248"/>
      <c r="E18" s="48"/>
      <c r="F18" s="44"/>
      <c r="G18" s="44" t="s">
        <v>16</v>
      </c>
      <c r="H18" s="250" t="str">
        <f>GEOMETRY!H32</f>
        <v>260mm - 7s - 40 40 30 40 30 40 40</v>
      </c>
      <c r="I18" s="250"/>
      <c r="J18" s="250"/>
      <c r="K18" s="251"/>
      <c r="L18" s="44"/>
      <c r="M18" s="44"/>
      <c r="N18" s="44"/>
      <c r="O18" s="44"/>
      <c r="P18" s="44"/>
    </row>
    <row r="19" spans="4:17" ht="15" hidden="1" customHeight="1">
      <c r="D19" s="248"/>
      <c r="E19" s="48"/>
      <c r="F19" s="44"/>
      <c r="G19" s="44" t="s">
        <v>57</v>
      </c>
      <c r="H19" s="48">
        <f>GEOMETRY!H33</f>
        <v>260</v>
      </c>
      <c r="I19" s="48"/>
      <c r="J19" s="48" t="s">
        <v>35</v>
      </c>
      <c r="K19" s="49"/>
      <c r="L19" s="44"/>
      <c r="M19" s="44"/>
      <c r="N19" s="44"/>
      <c r="O19" s="44"/>
      <c r="P19" s="44"/>
    </row>
    <row r="20" spans="4:17" ht="15" hidden="1" customHeight="1">
      <c r="D20" s="249"/>
      <c r="E20" s="52"/>
      <c r="F20" s="51"/>
      <c r="G20" s="51" t="s">
        <v>104</v>
      </c>
      <c r="H20" s="52" t="str">
        <f>GEOMETRY!H34</f>
        <v>L</v>
      </c>
      <c r="I20" s="52"/>
      <c r="J20" s="52"/>
      <c r="K20" s="53"/>
      <c r="L20" s="44"/>
      <c r="M20" s="44"/>
      <c r="N20" s="44"/>
      <c r="O20" s="44"/>
      <c r="P20" s="44"/>
    </row>
    <row r="21" spans="4:17" ht="15" hidden="1" customHeight="1">
      <c r="D21" s="44"/>
      <c r="E21" s="48"/>
      <c r="F21" s="44"/>
      <c r="G21" s="44"/>
      <c r="H21" s="48"/>
      <c r="I21" s="48"/>
      <c r="J21" s="48"/>
      <c r="K21" s="44"/>
      <c r="L21" s="44"/>
      <c r="M21" s="44"/>
      <c r="N21" s="44"/>
      <c r="O21" s="44"/>
      <c r="P21" s="44"/>
    </row>
    <row r="22" spans="4:17" ht="15" hidden="1" customHeight="1">
      <c r="D22" s="247" t="s">
        <v>115</v>
      </c>
      <c r="E22" s="46"/>
      <c r="F22" s="45"/>
      <c r="G22" s="45" t="s">
        <v>50</v>
      </c>
      <c r="H22" s="46" t="str">
        <f>GEOMETRY!H36</f>
        <v>VGS_11</v>
      </c>
      <c r="I22" s="46"/>
      <c r="J22" s="46" t="s">
        <v>35</v>
      </c>
      <c r="K22" s="47"/>
      <c r="L22" s="44"/>
      <c r="M22" s="44"/>
      <c r="N22" s="44"/>
      <c r="O22" s="44"/>
      <c r="P22" s="44"/>
    </row>
    <row r="23" spans="4:17" ht="15" hidden="1" customHeight="1">
      <c r="D23" s="248"/>
      <c r="E23" s="48"/>
      <c r="F23" s="44"/>
      <c r="G23" s="44"/>
      <c r="H23" s="48" t="str">
        <f>GEOMETRY!H37</f>
        <v>VGS_11_450</v>
      </c>
      <c r="I23" s="48"/>
      <c r="J23" s="48" t="s">
        <v>35</v>
      </c>
      <c r="K23" s="49"/>
      <c r="L23" s="44"/>
      <c r="M23" s="44"/>
      <c r="N23" s="44"/>
      <c r="O23" s="44"/>
      <c r="P23" s="44"/>
    </row>
    <row r="24" spans="4:17" ht="15" hidden="1" customHeight="1">
      <c r="D24" s="248"/>
      <c r="E24" s="48" t="s">
        <v>21</v>
      </c>
      <c r="F24" s="44"/>
      <c r="G24" s="44" t="s">
        <v>1</v>
      </c>
      <c r="H24" s="48">
        <f>GEOMETRY!H38</f>
        <v>11</v>
      </c>
      <c r="I24" s="48"/>
      <c r="J24" s="48" t="s">
        <v>35</v>
      </c>
      <c r="K24" s="49"/>
      <c r="L24" s="44"/>
      <c r="M24" s="44"/>
      <c r="N24" s="44"/>
      <c r="O24" s="44"/>
      <c r="P24" s="44"/>
    </row>
    <row r="25" spans="4:17" ht="15" hidden="1" customHeight="1">
      <c r="D25" s="248"/>
      <c r="E25" s="48" t="s">
        <v>22</v>
      </c>
      <c r="F25" s="44"/>
      <c r="G25" s="44" t="s">
        <v>2</v>
      </c>
      <c r="H25" s="48">
        <f>GEOMETRY!H39</f>
        <v>450</v>
      </c>
      <c r="I25" s="48"/>
      <c r="J25" s="48"/>
      <c r="K25" s="49"/>
      <c r="L25" s="44"/>
      <c r="M25" s="44"/>
      <c r="N25" s="44"/>
      <c r="O25" s="44"/>
      <c r="P25" s="44"/>
    </row>
    <row r="26" spans="4:17" ht="15" hidden="1" customHeight="1">
      <c r="D26" s="248"/>
      <c r="E26" s="48" t="s">
        <v>154</v>
      </c>
      <c r="F26" s="44"/>
      <c r="G26" s="44" t="s">
        <v>96</v>
      </c>
      <c r="H26" s="48">
        <f>GEOMETRY!H45</f>
        <v>100</v>
      </c>
      <c r="I26" s="48"/>
      <c r="J26" s="48" t="s">
        <v>35</v>
      </c>
      <c r="K26" s="49"/>
      <c r="L26" s="44"/>
      <c r="M26" s="44"/>
      <c r="N26" s="44"/>
      <c r="O26" s="44"/>
      <c r="P26" s="44"/>
    </row>
    <row r="27" spans="4:17" ht="15" hidden="1" customHeight="1">
      <c r="D27" s="248"/>
      <c r="E27" s="48" t="s">
        <v>155</v>
      </c>
      <c r="F27" s="44"/>
      <c r="G27" s="44" t="s">
        <v>53</v>
      </c>
      <c r="H27" s="48">
        <f>GEOMETRY!H46</f>
        <v>154</v>
      </c>
      <c r="I27" s="48"/>
      <c r="J27" s="48" t="s">
        <v>35</v>
      </c>
      <c r="K27" s="49"/>
      <c r="L27" s="44"/>
      <c r="M27" s="44"/>
      <c r="N27" s="44"/>
      <c r="O27" s="44"/>
      <c r="P27" s="44"/>
    </row>
    <row r="28" spans="4:17" ht="15" hidden="1" customHeight="1">
      <c r="D28" s="248"/>
      <c r="E28" s="48" t="s">
        <v>221</v>
      </c>
      <c r="F28" s="44"/>
      <c r="G28" s="44" t="s">
        <v>61</v>
      </c>
      <c r="H28" s="48">
        <f>GEOMETRY!H48</f>
        <v>45</v>
      </c>
      <c r="I28" s="48"/>
      <c r="J28" s="48" t="s">
        <v>35</v>
      </c>
      <c r="K28" s="49"/>
      <c r="L28" s="44"/>
      <c r="M28" s="44"/>
      <c r="N28" s="44"/>
      <c r="O28" s="44"/>
      <c r="P28" s="44"/>
    </row>
    <row r="29" spans="4:17" ht="15" hidden="1" customHeight="1">
      <c r="D29" s="248"/>
      <c r="E29" s="48" t="s">
        <v>156</v>
      </c>
      <c r="F29" s="44"/>
      <c r="G29" s="44" t="s">
        <v>61</v>
      </c>
      <c r="H29" s="48">
        <f>GEOMETRY!H49</f>
        <v>66</v>
      </c>
      <c r="I29" s="48"/>
      <c r="J29" s="48" t="s">
        <v>35</v>
      </c>
      <c r="K29" s="49" t="str">
        <f>IF(H29&lt;(5*H24),"a4&lt;a4min","a4&gt;a4min")</f>
        <v>a4&gt;a4min</v>
      </c>
      <c r="L29" s="44" t="s">
        <v>222</v>
      </c>
      <c r="M29" s="44"/>
      <c r="N29" s="44"/>
      <c r="O29" s="44"/>
      <c r="P29" s="44"/>
    </row>
    <row r="30" spans="4:17" ht="15" hidden="1" customHeight="1">
      <c r="D30" s="248"/>
      <c r="E30" s="48" t="s">
        <v>309</v>
      </c>
      <c r="F30" s="44"/>
      <c r="G30" s="44" t="s">
        <v>121</v>
      </c>
      <c r="H30" s="48">
        <f>IF(GEOMETRY!H16="N",GEOMETRY!H40,IF(GEOMETRY!H16="S",(1000/MAX(GEOMETRY!H43*0.9,GEOMETRY!H43^0.9))))</f>
        <v>200</v>
      </c>
      <c r="I30" s="48"/>
      <c r="J30" s="48" t="s">
        <v>35</v>
      </c>
      <c r="K30" s="49"/>
      <c r="L30" s="44"/>
      <c r="M30" s="44"/>
      <c r="N30" s="44"/>
      <c r="O30" s="44"/>
      <c r="P30" s="44"/>
    </row>
    <row r="31" spans="4:17" ht="15" hidden="1" customHeight="1">
      <c r="D31" s="248"/>
      <c r="E31" s="48" t="s">
        <v>310</v>
      </c>
      <c r="F31" s="44"/>
      <c r="G31" s="44" t="s">
        <v>122</v>
      </c>
      <c r="H31" s="48">
        <f>IF(GEOMETRY!H16="N",GEOMETRY!H41,IF(GEOMETRY!H16="S",(1000/MAX(GEOMETRY!H44*0.9,GEOMETRY!H44^0.9))))</f>
        <v>200</v>
      </c>
      <c r="I31" s="48"/>
      <c r="J31" s="48" t="s">
        <v>35</v>
      </c>
      <c r="K31" s="49"/>
      <c r="L31" s="44"/>
      <c r="M31" s="44"/>
      <c r="N31" s="44"/>
      <c r="O31" s="44"/>
      <c r="P31" s="44"/>
    </row>
    <row r="32" spans="4:17" ht="15" hidden="1" customHeight="1">
      <c r="D32" s="248"/>
      <c r="E32" s="48" t="s">
        <v>234</v>
      </c>
      <c r="F32" s="44"/>
      <c r="G32" s="44" t="s">
        <v>273</v>
      </c>
      <c r="H32" s="48">
        <f>GEOMETRY!H43</f>
        <v>5</v>
      </c>
      <c r="I32" s="48"/>
      <c r="J32" s="48" t="s">
        <v>275</v>
      </c>
      <c r="K32" s="49"/>
      <c r="L32" s="44"/>
      <c r="M32" s="44"/>
      <c r="N32" s="44"/>
      <c r="O32" s="44"/>
      <c r="P32" s="44"/>
      <c r="Q32" s="29"/>
    </row>
    <row r="33" spans="4:25" ht="15" hidden="1" customHeight="1">
      <c r="D33" s="249"/>
      <c r="E33" s="52" t="s">
        <v>235</v>
      </c>
      <c r="F33" s="51"/>
      <c r="G33" s="51" t="s">
        <v>274</v>
      </c>
      <c r="H33" s="52">
        <f>GEOMETRY!H44</f>
        <v>5</v>
      </c>
      <c r="I33" s="52"/>
      <c r="J33" s="52" t="s">
        <v>275</v>
      </c>
      <c r="K33" s="53"/>
      <c r="L33" s="44"/>
      <c r="M33" s="44"/>
      <c r="N33" s="44"/>
      <c r="O33" s="44"/>
      <c r="P33" s="44"/>
      <c r="Q33" s="31" t="s">
        <v>208</v>
      </c>
      <c r="R33" s="10"/>
      <c r="S33" s="10"/>
      <c r="T33" s="10"/>
      <c r="U33" s="10"/>
      <c r="V33" s="10"/>
      <c r="W33" s="10"/>
      <c r="X33" s="10"/>
      <c r="Y33" s="11"/>
    </row>
    <row r="34" spans="4:25" ht="15" hidden="1" customHeight="1">
      <c r="D34" s="44"/>
      <c r="E34" s="48"/>
      <c r="F34" s="44"/>
      <c r="G34" s="44"/>
      <c r="H34" s="48"/>
      <c r="I34" s="48"/>
      <c r="J34" s="48"/>
      <c r="K34" s="44"/>
      <c r="L34" s="44"/>
      <c r="M34" s="44"/>
      <c r="N34" s="44"/>
      <c r="O34" s="44"/>
      <c r="P34" s="44"/>
      <c r="Q34" s="32"/>
      <c r="S34" t="s">
        <v>207</v>
      </c>
      <c r="T34" t="s">
        <v>205</v>
      </c>
      <c r="U34" t="s">
        <v>206</v>
      </c>
      <c r="Y34" s="12"/>
    </row>
    <row r="35" spans="4:25" ht="15" hidden="1" customHeight="1">
      <c r="D35" s="44"/>
      <c r="E35" s="48"/>
      <c r="F35" s="44"/>
      <c r="G35" s="44"/>
      <c r="H35" s="48"/>
      <c r="I35" s="48"/>
      <c r="J35" s="48"/>
      <c r="K35" s="44"/>
      <c r="L35" s="44"/>
      <c r="M35" s="44"/>
      <c r="N35" s="44"/>
      <c r="O35" s="44"/>
      <c r="P35" s="44"/>
      <c r="Q35" s="32" t="s">
        <v>200</v>
      </c>
      <c r="R35" t="s">
        <v>203</v>
      </c>
      <c r="S35" s="9">
        <f>T35*SCREWS!AE14</f>
        <v>38</v>
      </c>
      <c r="T35" s="9">
        <f>SCREWS!I31</f>
        <v>30.4</v>
      </c>
      <c r="U35" s="9">
        <f>S35</f>
        <v>38</v>
      </c>
      <c r="Y35" s="12"/>
    </row>
    <row r="36" spans="4:25" ht="15" hidden="1" customHeight="1">
      <c r="D36" s="247" t="s">
        <v>23</v>
      </c>
      <c r="E36" s="46"/>
      <c r="F36" s="45"/>
      <c r="G36" s="45" t="s">
        <v>63</v>
      </c>
      <c r="H36" s="46" t="str">
        <f>GEOMETRY!H51</f>
        <v>C25/30</v>
      </c>
      <c r="I36" s="46"/>
      <c r="J36" s="46"/>
      <c r="K36" s="47"/>
      <c r="L36" s="44"/>
      <c r="M36" s="44"/>
      <c r="N36" s="44"/>
      <c r="O36" s="44"/>
      <c r="P36" s="44"/>
      <c r="Q36" s="32"/>
      <c r="R36" t="s">
        <v>202</v>
      </c>
      <c r="S36" s="9">
        <f>T36*SCREWS!AE17/SCREWS!AE18</f>
        <v>27.564437729939534</v>
      </c>
      <c r="T36" s="9">
        <f>SCREWS!I32</f>
        <v>15.619848046965735</v>
      </c>
      <c r="U36" s="9">
        <f>S36*SCREWS!AZ18</f>
        <v>41.346656594909305</v>
      </c>
      <c r="Y36" s="12"/>
    </row>
    <row r="37" spans="4:25" ht="15" hidden="1" customHeight="1">
      <c r="D37" s="248"/>
      <c r="E37" s="48" t="s">
        <v>159</v>
      </c>
      <c r="F37" s="44"/>
      <c r="G37" s="44" t="s">
        <v>24</v>
      </c>
      <c r="H37" s="48">
        <f>GEOMETRY!H52</f>
        <v>6</v>
      </c>
      <c r="I37" s="48"/>
      <c r="J37" s="48" t="s">
        <v>35</v>
      </c>
      <c r="K37" s="49"/>
      <c r="L37" s="44"/>
      <c r="M37" s="44"/>
      <c r="N37" s="44"/>
      <c r="O37" s="44"/>
      <c r="P37" s="44"/>
      <c r="Q37" s="32"/>
      <c r="R37" t="s">
        <v>204</v>
      </c>
      <c r="S37" s="9">
        <f>T37*SCREWS!AE17/SCREWS!AE19</f>
        <v>69.115038378975441</v>
      </c>
      <c r="T37" s="9">
        <f>SCREWS!D32</f>
        <v>46.076692252650297</v>
      </c>
      <c r="U37" s="9">
        <f>S37</f>
        <v>69.115038378975441</v>
      </c>
      <c r="Y37" s="12"/>
    </row>
    <row r="38" spans="4:25" ht="15" hidden="1" customHeight="1">
      <c r="D38" s="248"/>
      <c r="E38" s="48" t="s">
        <v>160</v>
      </c>
      <c r="F38" s="44"/>
      <c r="G38" s="44" t="s">
        <v>25</v>
      </c>
      <c r="H38" s="48">
        <f>GEOMETRY!H53</f>
        <v>8</v>
      </c>
      <c r="I38" s="48"/>
      <c r="J38" s="48" t="s">
        <v>35</v>
      </c>
      <c r="K38" s="49"/>
      <c r="L38" s="44"/>
      <c r="M38" s="44"/>
      <c r="N38" s="44"/>
      <c r="O38" s="44"/>
      <c r="P38" s="44"/>
      <c r="Q38" s="32"/>
      <c r="Y38" s="12"/>
    </row>
    <row r="39" spans="4:25" ht="15" hidden="1" customHeight="1">
      <c r="D39" s="248"/>
      <c r="E39" s="48" t="s">
        <v>161</v>
      </c>
      <c r="F39" s="44"/>
      <c r="G39" s="44" t="s">
        <v>30</v>
      </c>
      <c r="H39" s="48">
        <f>GEOMETRY!H54</f>
        <v>10</v>
      </c>
      <c r="I39" s="48"/>
      <c r="J39" s="48" t="s">
        <v>35</v>
      </c>
      <c r="K39" s="49"/>
      <c r="L39" s="44"/>
      <c r="M39" s="44"/>
      <c r="N39" s="44"/>
      <c r="O39" s="44"/>
      <c r="P39" s="44"/>
      <c r="Q39" s="32" t="s">
        <v>201</v>
      </c>
      <c r="R39" t="s">
        <v>209</v>
      </c>
      <c r="S39" s="9">
        <f>T39*SCREWS!AE14</f>
        <v>17.10597199879642</v>
      </c>
      <c r="T39" s="9">
        <f>SCREWS!I43</f>
        <v>13.684777599037137</v>
      </c>
      <c r="U39" s="9">
        <f>S39</f>
        <v>17.10597199879642</v>
      </c>
      <c r="Y39" s="12"/>
    </row>
    <row r="40" spans="4:25" ht="15" hidden="1" customHeight="1">
      <c r="D40" s="248"/>
      <c r="E40" s="48"/>
      <c r="F40" s="44"/>
      <c r="G40" s="44" t="s">
        <v>48</v>
      </c>
      <c r="H40" s="48" t="str">
        <f>GEOMETRY!H55</f>
        <v>XC1</v>
      </c>
      <c r="I40" s="48"/>
      <c r="J40" s="48"/>
      <c r="K40" s="49"/>
      <c r="L40" s="44"/>
      <c r="M40" s="44"/>
      <c r="N40" s="44"/>
      <c r="O40" s="44"/>
      <c r="P40" s="44"/>
      <c r="Q40" s="32"/>
      <c r="R40" t="s">
        <v>210</v>
      </c>
      <c r="S40" s="9">
        <f>T40*SCREWS!AE9/SCREWS!AE10</f>
        <v>5.6831136095656216</v>
      </c>
      <c r="T40" s="4">
        <f>SCREWS!D48*H28/H29</f>
        <v>4.209713784863423</v>
      </c>
      <c r="U40" s="9">
        <f>S40*SCREWS!AZ18</f>
        <v>8.5246704143484315</v>
      </c>
      <c r="Y40" s="12"/>
    </row>
    <row r="41" spans="4:25" ht="15" hidden="1" customHeight="1">
      <c r="D41" s="248"/>
      <c r="E41" s="48" t="s">
        <v>162</v>
      </c>
      <c r="F41" s="44"/>
      <c r="G41" s="44" t="s">
        <v>27</v>
      </c>
      <c r="H41" s="48">
        <f>GEOMETRY!H56</f>
        <v>20</v>
      </c>
      <c r="I41" s="48"/>
      <c r="J41" s="48" t="s">
        <v>35</v>
      </c>
      <c r="K41" s="49"/>
      <c r="L41" s="44"/>
      <c r="M41" s="44"/>
      <c r="N41" s="44"/>
      <c r="O41" s="44"/>
      <c r="P41" s="44"/>
      <c r="Q41" s="32"/>
      <c r="R41" t="s">
        <v>219</v>
      </c>
      <c r="T41" s="2" t="str">
        <f>SCREWS!$F$48</f>
        <v>e</v>
      </c>
      <c r="X41" t="str">
        <f>IF(T41="e","OK Annex E8","NO")</f>
        <v>OK Annex E8</v>
      </c>
      <c r="Y41" s="12"/>
    </row>
    <row r="42" spans="4:25" ht="15" hidden="1" customHeight="1">
      <c r="D42" s="248"/>
      <c r="E42" s="48" t="s">
        <v>163</v>
      </c>
      <c r="F42" s="44"/>
      <c r="G42" s="44" t="s">
        <v>26</v>
      </c>
      <c r="H42" s="48">
        <f>GEOMETRY!H57</f>
        <v>20</v>
      </c>
      <c r="I42" s="48"/>
      <c r="J42" s="48" t="s">
        <v>35</v>
      </c>
      <c r="K42" s="49"/>
      <c r="L42" s="44"/>
      <c r="M42" s="44"/>
      <c r="N42" s="44"/>
      <c r="O42" s="44"/>
      <c r="P42" s="44"/>
      <c r="Q42" s="32"/>
      <c r="R42" t="s">
        <v>236</v>
      </c>
      <c r="T42" s="3">
        <f>2.3*(SCREWS!$D$40*10^3/(SCREWS!$D$41*SCREWS!$E$23))^0.5</f>
        <v>60.502178096441845</v>
      </c>
      <c r="U42" s="2" t="str">
        <f>IF(T42&lt;V42,"&lt;","&gt;")</f>
        <v>&lt;</v>
      </c>
      <c r="V42" s="2">
        <f>H59</f>
        <v>260</v>
      </c>
      <c r="W42" t="s">
        <v>35</v>
      </c>
      <c r="X42" t="str">
        <f>IF(T42&lt;V42,"OK Annex E8","NO")</f>
        <v>OK Annex E8</v>
      </c>
      <c r="Y42" s="12"/>
    </row>
    <row r="43" spans="4:25" ht="15" hidden="1" customHeight="1">
      <c r="D43" s="248"/>
      <c r="E43" s="48" t="s">
        <v>128</v>
      </c>
      <c r="F43" s="44"/>
      <c r="G43" s="44" t="s">
        <v>49</v>
      </c>
      <c r="H43" s="48">
        <f>GEOMETRY!H58</f>
        <v>24</v>
      </c>
      <c r="I43" s="48"/>
      <c r="J43" s="48" t="s">
        <v>35</v>
      </c>
      <c r="K43" s="49"/>
      <c r="L43" s="44"/>
      <c r="M43" s="44"/>
      <c r="N43" s="44"/>
      <c r="O43" s="44"/>
      <c r="P43" s="44"/>
      <c r="Q43" s="32"/>
      <c r="Y43" s="12"/>
    </row>
    <row r="44" spans="4:25" ht="15" hidden="1" customHeight="1">
      <c r="D44" s="249"/>
      <c r="E44" s="52" t="s">
        <v>164</v>
      </c>
      <c r="F44" s="51"/>
      <c r="G44" s="51" t="s">
        <v>51</v>
      </c>
      <c r="H44" s="52">
        <f>GEOMETRY!H59</f>
        <v>202</v>
      </c>
      <c r="I44" s="52"/>
      <c r="J44" s="52" t="s">
        <v>35</v>
      </c>
      <c r="K44" s="53"/>
      <c r="Q44" s="33" t="s">
        <v>332</v>
      </c>
      <c r="R44" s="13"/>
      <c r="S44" s="13"/>
      <c r="T44" s="13"/>
      <c r="U44" s="13"/>
      <c r="V44" s="13"/>
      <c r="W44" s="13"/>
      <c r="X44" s="13"/>
      <c r="Y44" s="14"/>
    </row>
    <row r="45" spans="4:25" ht="15" hidden="1" customHeight="1">
      <c r="D45" s="44"/>
      <c r="E45" s="48"/>
      <c r="F45" s="44"/>
      <c r="G45" s="44"/>
      <c r="H45" s="48"/>
      <c r="I45" s="48"/>
      <c r="J45" s="48"/>
      <c r="K45" s="44"/>
    </row>
    <row r="46" spans="4:25" ht="15" hidden="1" customHeight="1">
      <c r="D46" s="247" t="s">
        <v>106</v>
      </c>
      <c r="E46" s="46" t="s">
        <v>165</v>
      </c>
      <c r="F46" s="45"/>
      <c r="G46" s="45" t="s">
        <v>107</v>
      </c>
      <c r="H46" s="46">
        <f>GEOMETRY!H61</f>
        <v>16.8</v>
      </c>
      <c r="I46" s="46"/>
      <c r="J46" s="46" t="s">
        <v>100</v>
      </c>
      <c r="K46" s="47"/>
    </row>
    <row r="47" spans="4:25" ht="15" hidden="1" customHeight="1">
      <c r="D47" s="248"/>
      <c r="E47" s="48" t="s">
        <v>167</v>
      </c>
      <c r="F47" s="44"/>
      <c r="G47" s="44" t="s">
        <v>108</v>
      </c>
      <c r="H47" s="54">
        <f>GEOMETRY!H62</f>
        <v>14.166666666666666</v>
      </c>
      <c r="I47" s="48"/>
      <c r="J47" s="48" t="s">
        <v>100</v>
      </c>
      <c r="K47" s="49"/>
    </row>
    <row r="48" spans="4:25" ht="15" hidden="1" customHeight="1">
      <c r="D48" s="248"/>
      <c r="E48" s="48" t="s">
        <v>166</v>
      </c>
      <c r="F48" s="44"/>
      <c r="G48" s="44" t="s">
        <v>109</v>
      </c>
      <c r="H48" s="54">
        <f>GEOMETRY!H63</f>
        <v>14.166666666666666</v>
      </c>
      <c r="I48" s="48"/>
      <c r="J48" s="48" t="s">
        <v>100</v>
      </c>
      <c r="K48" s="49"/>
    </row>
    <row r="49" spans="4:37" ht="15" hidden="1" customHeight="1">
      <c r="D49" s="248"/>
      <c r="E49" s="48" t="s">
        <v>168</v>
      </c>
      <c r="F49" s="44"/>
      <c r="G49" s="44" t="s">
        <v>101</v>
      </c>
      <c r="H49" s="48">
        <f>GEOMETRY!H64</f>
        <v>12.5</v>
      </c>
      <c r="I49" s="48"/>
      <c r="J49" s="48" t="s">
        <v>100</v>
      </c>
      <c r="K49" s="49"/>
    </row>
    <row r="50" spans="4:37" ht="15" hidden="1" customHeight="1">
      <c r="D50" s="249"/>
      <c r="E50" s="52"/>
      <c r="F50" s="51"/>
      <c r="G50" s="51"/>
      <c r="H50" s="55"/>
      <c r="I50" s="55"/>
      <c r="J50" s="52"/>
      <c r="K50" s="53"/>
    </row>
    <row r="51" spans="4:37" ht="15" hidden="1" customHeight="1">
      <c r="D51" s="44"/>
      <c r="E51" s="48"/>
      <c r="F51" s="44"/>
      <c r="G51" s="44"/>
      <c r="H51" s="48"/>
      <c r="I51" s="48"/>
      <c r="J51" s="48"/>
      <c r="K51" s="44"/>
    </row>
    <row r="52" spans="4:37" ht="15" hidden="1" customHeight="1">
      <c r="D52" s="247" t="s">
        <v>52</v>
      </c>
      <c r="E52" s="46"/>
      <c r="F52" s="45"/>
      <c r="G52" s="45" t="s">
        <v>49</v>
      </c>
      <c r="H52" s="46">
        <f>GEOMETRY!H66</f>
        <v>24</v>
      </c>
      <c r="I52" s="46"/>
      <c r="J52" s="46" t="s">
        <v>35</v>
      </c>
      <c r="K52" s="47"/>
    </row>
    <row r="53" spans="4:37" ht="15" hidden="1" customHeight="1">
      <c r="D53" s="248"/>
      <c r="E53" s="48"/>
      <c r="F53" s="44"/>
      <c r="G53" s="44" t="s">
        <v>84</v>
      </c>
      <c r="H53" s="48">
        <f>GEOMETRY!H67</f>
        <v>200</v>
      </c>
      <c r="I53" s="48"/>
      <c r="J53" s="48" t="s">
        <v>35</v>
      </c>
      <c r="K53" s="49"/>
    </row>
    <row r="54" spans="4:37" ht="15" hidden="1" customHeight="1">
      <c r="D54" s="248"/>
      <c r="E54" s="48"/>
      <c r="F54" s="44"/>
      <c r="G54" s="44" t="s">
        <v>56</v>
      </c>
      <c r="H54" s="48">
        <f>GEOMETRY!H68</f>
        <v>160</v>
      </c>
      <c r="I54" s="48"/>
      <c r="J54" s="48" t="s">
        <v>35</v>
      </c>
      <c r="K54" s="49"/>
    </row>
    <row r="55" spans="4:37" ht="15" hidden="1" customHeight="1">
      <c r="D55" s="248"/>
      <c r="E55" s="48"/>
      <c r="F55" s="44"/>
      <c r="G55" s="44" t="s">
        <v>60</v>
      </c>
      <c r="H55" s="48">
        <f>GEOMETRY!H70</f>
        <v>45</v>
      </c>
      <c r="I55" s="48"/>
      <c r="J55" s="48" t="s">
        <v>35</v>
      </c>
      <c r="K55" s="49"/>
    </row>
    <row r="56" spans="4:37" ht="15" hidden="1" customHeight="1">
      <c r="D56" s="248"/>
      <c r="E56" s="48" t="s">
        <v>248</v>
      </c>
      <c r="F56" s="44"/>
      <c r="G56" s="44" t="s">
        <v>247</v>
      </c>
      <c r="H56" s="48">
        <f>GEOMETRY!H72</f>
        <v>215</v>
      </c>
      <c r="I56" s="48"/>
      <c r="J56" s="48" t="s">
        <v>35</v>
      </c>
      <c r="K56" s="49"/>
    </row>
    <row r="57" spans="4:37" ht="15" hidden="1" customHeight="1">
      <c r="D57" s="248"/>
      <c r="E57" s="48" t="s">
        <v>249</v>
      </c>
      <c r="F57" s="44"/>
      <c r="G57" s="44" t="s">
        <v>87</v>
      </c>
      <c r="H57" s="48">
        <f>GEOMETRY!H73</f>
        <v>180</v>
      </c>
      <c r="I57" s="48"/>
      <c r="J57" s="48" t="s">
        <v>35</v>
      </c>
      <c r="K57" s="49"/>
      <c r="U57" s="5"/>
      <c r="V57" s="5"/>
      <c r="W57" s="5"/>
      <c r="X57" s="5"/>
      <c r="Y57" s="5"/>
      <c r="Z57" s="5"/>
      <c r="AA57" s="5"/>
      <c r="AB57" s="5"/>
      <c r="AC57" s="5"/>
      <c r="AD57" s="5"/>
      <c r="AE57" s="5"/>
      <c r="AF57" s="5"/>
      <c r="AG57" s="5"/>
      <c r="AH57" s="5"/>
      <c r="AI57" s="5"/>
      <c r="AJ57" s="5"/>
      <c r="AK57" s="5"/>
    </row>
    <row r="58" spans="4:37" ht="15" hidden="1" customHeight="1">
      <c r="D58" s="248"/>
      <c r="E58" s="48" t="s">
        <v>88</v>
      </c>
      <c r="F58" s="44"/>
      <c r="G58" s="44" t="s">
        <v>86</v>
      </c>
      <c r="H58" s="48">
        <f>GEOMETRY!H74</f>
        <v>270</v>
      </c>
      <c r="I58" s="48"/>
      <c r="J58" s="48" t="s">
        <v>35</v>
      </c>
      <c r="K58" s="49"/>
      <c r="U58" s="5"/>
      <c r="AI58" s="5"/>
      <c r="AJ58" s="5"/>
      <c r="AK58" s="5"/>
    </row>
    <row r="59" spans="4:37" ht="15" hidden="1" customHeight="1">
      <c r="D59" s="248"/>
      <c r="E59" s="48" t="s">
        <v>237</v>
      </c>
      <c r="F59" s="44"/>
      <c r="G59" s="44" t="s">
        <v>85</v>
      </c>
      <c r="H59" s="48">
        <f>GEOMETRY!H75</f>
        <v>260</v>
      </c>
      <c r="I59" s="48"/>
      <c r="J59" s="48" t="s">
        <v>35</v>
      </c>
      <c r="K59" s="49"/>
      <c r="U59" s="5"/>
      <c r="AI59" s="5"/>
      <c r="AJ59" s="5"/>
      <c r="AK59" s="5"/>
    </row>
    <row r="60" spans="4:37" ht="15" hidden="1" customHeight="1">
      <c r="D60" s="50"/>
      <c r="E60" s="52" t="s">
        <v>230</v>
      </c>
      <c r="F60" s="51"/>
      <c r="G60" s="51" t="s">
        <v>231</v>
      </c>
      <c r="H60" s="52">
        <f>GEOMETRY!H76</f>
        <v>170</v>
      </c>
      <c r="I60" s="52"/>
      <c r="J60" s="52" t="s">
        <v>35</v>
      </c>
      <c r="K60" s="53"/>
      <c r="U60" s="5"/>
      <c r="AI60" s="5"/>
      <c r="AJ60" s="5"/>
      <c r="AK60" s="5"/>
    </row>
    <row r="61" spans="4:37" ht="15" hidden="1" customHeight="1">
      <c r="U61" s="5"/>
      <c r="AI61" s="5"/>
      <c r="AJ61" s="5"/>
      <c r="AK61" s="5"/>
    </row>
    <row r="62" spans="4:37" ht="12.75" customHeight="1">
      <c r="U62" s="5"/>
      <c r="V62" s="5"/>
      <c r="W62" s="5"/>
      <c r="X62" s="5"/>
      <c r="Y62" s="5"/>
      <c r="Z62" s="5"/>
      <c r="AA62" s="5"/>
      <c r="AB62" s="5"/>
      <c r="AC62" s="5"/>
      <c r="AD62" s="5"/>
      <c r="AE62" s="5"/>
      <c r="AF62" s="5"/>
      <c r="AG62" s="5"/>
      <c r="AH62" s="5"/>
      <c r="AI62" s="5"/>
      <c r="AJ62" s="5"/>
      <c r="AK62" s="5"/>
    </row>
    <row r="63" spans="4:37" ht="12.75" customHeight="1">
      <c r="D63" s="68"/>
      <c r="E63" s="220" t="str">
        <f>CONCATENATE(GEOMETRY!E2," - ",traduzioni!A82)</f>
        <v>CALCUL TC-FUSION - Vérification</v>
      </c>
      <c r="F63" s="220"/>
      <c r="G63" s="220"/>
      <c r="H63" s="220"/>
      <c r="I63" s="220"/>
      <c r="J63" s="220"/>
      <c r="K63" s="68"/>
      <c r="U63" s="5"/>
      <c r="V63" s="5"/>
      <c r="W63" s="5"/>
      <c r="X63" s="5"/>
      <c r="Y63" s="5"/>
      <c r="Z63" s="5"/>
      <c r="AA63" s="5"/>
      <c r="AB63" s="5"/>
      <c r="AC63" s="5"/>
      <c r="AD63" s="5"/>
      <c r="AE63" s="5"/>
      <c r="AF63" s="5"/>
      <c r="AG63" s="5"/>
      <c r="AH63" s="5"/>
      <c r="AI63" s="5"/>
      <c r="AJ63" s="5"/>
      <c r="AK63" s="5"/>
    </row>
    <row r="64" spans="4:37" ht="12.75" customHeight="1">
      <c r="D64" s="68"/>
      <c r="E64" s="220"/>
      <c r="F64" s="220"/>
      <c r="G64" s="220"/>
      <c r="H64" s="220"/>
      <c r="I64" s="220"/>
      <c r="J64" s="220"/>
      <c r="K64" s="68"/>
      <c r="U64" s="5"/>
      <c r="AI64" s="5"/>
      <c r="AJ64" s="5"/>
      <c r="AK64" s="5"/>
    </row>
    <row r="65" spans="4:37" ht="12.75" customHeight="1">
      <c r="D65" s="68"/>
      <c r="E65" s="220"/>
      <c r="F65" s="220"/>
      <c r="G65" s="220"/>
      <c r="H65" s="220"/>
      <c r="I65" s="220"/>
      <c r="J65" s="220"/>
      <c r="K65" s="68"/>
      <c r="U65" s="5"/>
      <c r="AI65" s="5"/>
      <c r="AJ65" s="5"/>
      <c r="AK65" s="5"/>
    </row>
    <row r="66" spans="4:37" ht="12.75" customHeight="1">
      <c r="D66" s="68"/>
      <c r="E66" s="220"/>
      <c r="F66" s="220"/>
      <c r="G66" s="220"/>
      <c r="H66" s="220"/>
      <c r="I66" s="220"/>
      <c r="J66" s="220"/>
      <c r="K66" s="68"/>
      <c r="U66" s="5"/>
      <c r="AI66" s="5"/>
      <c r="AJ66" s="5"/>
      <c r="AK66" s="5"/>
    </row>
    <row r="67" spans="4:37" ht="12.75" customHeight="1">
      <c r="D67" s="68"/>
      <c r="E67" s="220"/>
      <c r="F67" s="220"/>
      <c r="G67" s="220"/>
      <c r="H67" s="220"/>
      <c r="I67" s="220"/>
      <c r="J67" s="220"/>
      <c r="K67" s="69" t="s">
        <v>1437</v>
      </c>
      <c r="U67" s="5"/>
      <c r="AI67" s="5"/>
      <c r="AJ67" s="5"/>
      <c r="AK67" s="5"/>
    </row>
    <row r="68" spans="4:37" ht="12.75" customHeight="1">
      <c r="E68" s="133"/>
      <c r="F68" s="133"/>
      <c r="G68" s="133"/>
      <c r="H68" s="133"/>
      <c r="I68" s="133"/>
      <c r="J68" s="133"/>
      <c r="K68" s="2"/>
      <c r="U68" s="5"/>
      <c r="V68" s="5"/>
      <c r="W68" s="5"/>
      <c r="X68" s="5"/>
      <c r="Y68" s="5"/>
      <c r="Z68" s="5"/>
      <c r="AA68" s="5"/>
      <c r="AB68" s="5"/>
      <c r="AC68" s="5" t="s">
        <v>256</v>
      </c>
      <c r="AD68" s="5"/>
      <c r="AE68" s="5">
        <f>0.25*H19</f>
        <v>65</v>
      </c>
      <c r="AF68" s="5" t="s">
        <v>35</v>
      </c>
      <c r="AG68" s="5"/>
      <c r="AH68" s="5"/>
      <c r="AI68" s="5"/>
      <c r="AJ68" s="5"/>
      <c r="AK68" s="5"/>
    </row>
    <row r="69" spans="4:37" ht="12.75" customHeight="1">
      <c r="E69" s="133"/>
      <c r="F69" s="133"/>
      <c r="G69" s="133"/>
      <c r="H69" s="133"/>
      <c r="I69" s="133"/>
      <c r="J69" s="133"/>
      <c r="K69" s="2"/>
      <c r="U69" s="5"/>
      <c r="V69" s="5"/>
      <c r="W69" s="5"/>
      <c r="X69" s="5">
        <f>IF(--MID(GEOMETRY!H31,3,1)=1,--MID(GEOMETRY!H31,3,2),--MID(GEOMETRY!H31,3,1))</f>
        <v>7</v>
      </c>
      <c r="Y69" s="5"/>
      <c r="Z69" s="5"/>
      <c r="AA69" s="5"/>
      <c r="AB69" s="246" t="str">
        <f>H20</f>
        <v>L</v>
      </c>
      <c r="AC69" s="246"/>
      <c r="AD69" s="246"/>
      <c r="AE69" s="246"/>
      <c r="AF69" s="5" t="s">
        <v>334</v>
      </c>
      <c r="AG69" s="5" t="s">
        <v>335</v>
      </c>
      <c r="AH69" s="5"/>
      <c r="AI69" s="5"/>
      <c r="AJ69" s="5"/>
      <c r="AK69" s="5"/>
    </row>
    <row r="70" spans="4:37" ht="12.75" customHeight="1">
      <c r="E70" s="133"/>
      <c r="F70" s="133"/>
      <c r="G70" s="133"/>
      <c r="H70" s="133"/>
      <c r="I70" s="186"/>
      <c r="J70" s="133"/>
      <c r="K70" s="2"/>
      <c r="U70" s="5"/>
      <c r="V70" s="5">
        <v>1</v>
      </c>
      <c r="W70" s="5">
        <f t="shared" ref="W70:W80" si="0">IF(V70&gt;$X$69,0,1)</f>
        <v>1</v>
      </c>
      <c r="X70" s="5" t="str">
        <f>IF(W70=1,"t1","")</f>
        <v>t1</v>
      </c>
      <c r="Y70" s="5">
        <f>W70*IF(X70="",0,IF(--MID(GEOMETRY!$H$31,3,1)=1,--MID(GEOMETRY!$H$32,15,2),--MID(GEOMETRY!$H$32,14,2)))</f>
        <v>40</v>
      </c>
      <c r="Z70" s="5" t="str">
        <f>H20</f>
        <v>L</v>
      </c>
      <c r="AA70" s="5"/>
      <c r="AB70" s="5">
        <f>IF(Z70="L",Y70,0)</f>
        <v>40</v>
      </c>
      <c r="AC70" s="5">
        <f>Y70</f>
        <v>40</v>
      </c>
      <c r="AD70" s="5">
        <f>IF(AC70&lt;$AE$68,AC70,"non compreso int")</f>
        <v>40</v>
      </c>
      <c r="AE70" s="5">
        <f>AD70*IF(AB70=0,0,1)</f>
        <v>40</v>
      </c>
      <c r="AF70" s="5">
        <f>AE70</f>
        <v>40</v>
      </c>
      <c r="AG70" s="5">
        <f>Y70/2</f>
        <v>20</v>
      </c>
      <c r="AH70" s="5">
        <f>AF70*AG70</f>
        <v>800</v>
      </c>
      <c r="AI70" s="5"/>
      <c r="AJ70" s="5"/>
      <c r="AK70" s="5"/>
    </row>
    <row r="71" spans="4:37" ht="12.75" customHeight="1">
      <c r="E71" s="133"/>
      <c r="F71" s="133"/>
      <c r="G71" s="133"/>
      <c r="H71" s="133"/>
      <c r="I71" s="133"/>
      <c r="J71" s="133"/>
      <c r="K71" s="2"/>
      <c r="U71" s="5"/>
      <c r="V71" s="5">
        <v>2</v>
      </c>
      <c r="W71" s="5">
        <f t="shared" si="0"/>
        <v>1</v>
      </c>
      <c r="X71" s="5" t="str">
        <f>IF(W71=1,"t2","")</f>
        <v>t2</v>
      </c>
      <c r="Y71" s="5">
        <f>W71*IF(X71="",0,IF(--MID(GEOMETRY!$H$31,3,1)=1,--MID(GEOMETRY!$H$32,15+3,2),--MID(GEOMETRY!$H$32,14+3,2)))</f>
        <v>40</v>
      </c>
      <c r="Z71" s="5" t="str">
        <f t="shared" ref="Z71:Z80" si="1">IF(Z70="L","T","L")</f>
        <v>T</v>
      </c>
      <c r="AA71" s="5"/>
      <c r="AB71" s="5">
        <f>IF(Z71="L",Y71,0)</f>
        <v>0</v>
      </c>
      <c r="AC71" s="5">
        <f>Y71</f>
        <v>40</v>
      </c>
      <c r="AD71" s="5">
        <f>IF(AC71+AD70&lt;$AE$68,AC71,AE68-AD70)</f>
        <v>25</v>
      </c>
      <c r="AE71" s="5">
        <f>AD71*IF(AB71=0,0,1)</f>
        <v>0</v>
      </c>
      <c r="AF71" s="5">
        <f>AE71</f>
        <v>0</v>
      </c>
      <c r="AG71" s="5">
        <f>Y71+AF71/2</f>
        <v>40</v>
      </c>
      <c r="AH71" s="5">
        <f>AF71*AG71</f>
        <v>0</v>
      </c>
      <c r="AI71" s="5"/>
      <c r="AJ71" s="5"/>
      <c r="AK71" s="5"/>
    </row>
    <row r="72" spans="4:37" ht="12.75" customHeight="1">
      <c r="I72"/>
      <c r="U72" s="5"/>
      <c r="V72" s="5">
        <v>3</v>
      </c>
      <c r="W72" s="5">
        <f t="shared" si="0"/>
        <v>1</v>
      </c>
      <c r="X72" s="5" t="str">
        <f>IF(W72=1,"t3","")</f>
        <v>t3</v>
      </c>
      <c r="Y72" s="5">
        <f>W72*IF(X72="",0,IF(--MID(GEOMETRY!$H$31,3,1)=1,--MID(GEOMETRY!$H$32,15+6,2),--MID(GEOMETRY!$H$32,14+6,2)))</f>
        <v>30</v>
      </c>
      <c r="Z72" s="5" t="str">
        <f t="shared" si="1"/>
        <v>L</v>
      </c>
      <c r="AA72" s="5"/>
      <c r="AB72" s="5">
        <f t="shared" ref="AB72:AB80" si="2">IF(Z72="L",Y72,0)</f>
        <v>30</v>
      </c>
      <c r="AC72" s="5">
        <f t="shared" ref="AC72:AC80" si="3">Y72</f>
        <v>30</v>
      </c>
      <c r="AD72" s="5">
        <f>IF(AC72+AD70+AD71&lt;$AE$68,AC72,AE68-AD70-AD71)</f>
        <v>0</v>
      </c>
      <c r="AE72" s="5">
        <f>AD72*IF(AB72=0,0,1)</f>
        <v>0</v>
      </c>
      <c r="AF72" s="5">
        <f t="shared" ref="AF72:AF80" si="4">AE72</f>
        <v>0</v>
      </c>
      <c r="AG72" s="5">
        <f>Y71+AF72/2</f>
        <v>40</v>
      </c>
      <c r="AH72" s="5">
        <f t="shared" ref="AH72:AH80" si="5">AF72*AG72</f>
        <v>0</v>
      </c>
      <c r="AI72" s="5"/>
      <c r="AJ72" s="5"/>
      <c r="AK72" s="5"/>
    </row>
    <row r="73" spans="4:37" ht="15" customHeight="1">
      <c r="D73" s="211" t="str">
        <f>traduzioni!A101</f>
        <v>Calcul axe neutre - Flexion</v>
      </c>
      <c r="E73" s="70" t="s">
        <v>1395</v>
      </c>
      <c r="F73" s="71"/>
      <c r="G73" s="71" t="str">
        <f>traduzioni!A102</f>
        <v xml:space="preserve">Moment fléchissant par rapport aux vis </v>
      </c>
      <c r="H73" s="84">
        <f>H9+H6*((H19/2-H55)/1000)</f>
        <v>11.9</v>
      </c>
      <c r="I73" s="84"/>
      <c r="J73" s="70" t="s">
        <v>62</v>
      </c>
      <c r="K73" s="92"/>
      <c r="U73" s="5"/>
      <c r="V73" s="5">
        <v>4</v>
      </c>
      <c r="W73" s="5">
        <f t="shared" si="0"/>
        <v>1</v>
      </c>
      <c r="X73" s="5" t="str">
        <f>IF(W73=1,"t4","")</f>
        <v>t4</v>
      </c>
      <c r="Y73" s="5">
        <f>W73*IF(X73="",0,IF(--MID(GEOMETRY!$H$31,3,1)=1,--MID(GEOMETRY!$H$32,15+9,2),--MID(GEOMETRY!$H$32,14+9,2)))</f>
        <v>40</v>
      </c>
      <c r="Z73" s="5" t="str">
        <f t="shared" si="1"/>
        <v>T</v>
      </c>
      <c r="AA73" s="5"/>
      <c r="AB73" s="5">
        <f t="shared" si="2"/>
        <v>0</v>
      </c>
      <c r="AC73" s="5">
        <f t="shared" si="3"/>
        <v>40</v>
      </c>
      <c r="AD73" s="5">
        <f>IF(AC73+AD70+AD71+AD72&lt;$AE$68,AC73,AE68-AD70-AD71-AD72)</f>
        <v>0</v>
      </c>
      <c r="AE73" s="5">
        <f t="shared" ref="AE73:AE79" si="6">AD73*IF(AB73=0,0,1)</f>
        <v>0</v>
      </c>
      <c r="AF73" s="5">
        <f t="shared" si="4"/>
        <v>0</v>
      </c>
      <c r="AG73" s="5">
        <f t="shared" ref="AG73:AG80" si="7">Y72+AF73/2</f>
        <v>30</v>
      </c>
      <c r="AH73" s="5">
        <f t="shared" si="5"/>
        <v>0</v>
      </c>
      <c r="AI73" s="5"/>
      <c r="AJ73" s="5"/>
      <c r="AK73" s="5"/>
    </row>
    <row r="74" spans="4:37" ht="15" customHeight="1">
      <c r="D74" s="212"/>
      <c r="E74" s="35" t="s">
        <v>118</v>
      </c>
      <c r="F74" s="38"/>
      <c r="G74" s="85" t="str">
        <f>traduzioni!A103</f>
        <v xml:space="preserve">Axe neutre </v>
      </c>
      <c r="H74" s="105">
        <f>IF(GEOMETRY!H34="L",IF(U84&lt;Y70,U84,IF(U84&gt;Y70,U85,IF(U85&gt;(Y70+Y71+Y72),"NOT POSSIBLE"))),IF(GEOMETRY!H34="T",IF(Z84&lt;Y70,Z84,IF(Z84&gt;Y70,Z85,IF(Z85&gt;(Y70+Y71+Y72),"NOT POSSIBLE"))),0))</f>
        <v>3.9431356245431175</v>
      </c>
      <c r="I74" s="105"/>
      <c r="J74" s="86" t="s">
        <v>35</v>
      </c>
      <c r="K74" s="93"/>
      <c r="L74" t="s">
        <v>337</v>
      </c>
      <c r="S74" s="5" t="s">
        <v>308</v>
      </c>
      <c r="U74" s="5"/>
      <c r="V74" s="5">
        <v>5</v>
      </c>
      <c r="W74" s="5">
        <f t="shared" si="0"/>
        <v>1</v>
      </c>
      <c r="X74" s="5" t="str">
        <f>IF(W74=1,"t5","")</f>
        <v>t5</v>
      </c>
      <c r="Y74" s="5">
        <f>W74*IF(X74="",0,IF(--MID(GEOMETRY!$H$31,3,1)=1,--MID(GEOMETRY!$H$32,15+12,2),--MID(GEOMETRY!$H$32,14+12,2)))</f>
        <v>30</v>
      </c>
      <c r="Z74" s="5" t="str">
        <f t="shared" si="1"/>
        <v>L</v>
      </c>
      <c r="AA74" s="5">
        <f>--MID(GEOMETRY!$H$32,11+12,2)</f>
        <v>40</v>
      </c>
      <c r="AB74" s="5">
        <f t="shared" si="2"/>
        <v>30</v>
      </c>
      <c r="AC74" s="5">
        <f t="shared" si="3"/>
        <v>30</v>
      </c>
      <c r="AD74" s="5"/>
      <c r="AE74" s="5">
        <f t="shared" si="6"/>
        <v>0</v>
      </c>
      <c r="AF74" s="5">
        <f t="shared" si="4"/>
        <v>0</v>
      </c>
      <c r="AG74" s="5">
        <f t="shared" si="7"/>
        <v>40</v>
      </c>
      <c r="AH74" s="5">
        <f t="shared" si="5"/>
        <v>0</v>
      </c>
      <c r="AI74" s="5"/>
      <c r="AJ74" s="5"/>
      <c r="AK74" s="5"/>
    </row>
    <row r="75" spans="4:37" ht="15" customHeight="1">
      <c r="D75" s="212"/>
      <c r="E75" s="35"/>
      <c r="F75" s="38"/>
      <c r="G75" s="38"/>
      <c r="H75" s="81" t="str">
        <f>IF(H74&lt;Y70,"x&lt;t1",IF(H74&gt;Y70,"x&gt;t1",0))</f>
        <v>x&lt;t1</v>
      </c>
      <c r="I75" s="81"/>
      <c r="J75" s="35"/>
      <c r="K75" s="93"/>
      <c r="S75" s="62">
        <f>H56*(1-(1-((2*H73*1000+H6*1000*(2*H56-H19))/(H48*1*H56^2)))^0.5)</f>
        <v>3.9431356245431242</v>
      </c>
      <c r="U75" s="5"/>
      <c r="V75" s="5">
        <v>6</v>
      </c>
      <c r="W75" s="5">
        <f t="shared" si="0"/>
        <v>1</v>
      </c>
      <c r="X75" s="5" t="str">
        <f>IF(W75=1,"t6","")</f>
        <v>t6</v>
      </c>
      <c r="Y75" s="5">
        <f>W75*IF(X75="",0,IF(--MID(GEOMETRY!$H$31,3,1)=1,--MID(GEOMETRY!$H$32,15+15,2),--MID(GEOMETRY!$H$32,14+15,2)))</f>
        <v>40</v>
      </c>
      <c r="Z75" s="5" t="str">
        <f t="shared" si="1"/>
        <v>T</v>
      </c>
      <c r="AA75" s="5">
        <f>--MID(GEOMETRY!$H$32,11+12,2)</f>
        <v>40</v>
      </c>
      <c r="AB75" s="5">
        <f t="shared" si="2"/>
        <v>0</v>
      </c>
      <c r="AC75" s="5">
        <f>Y75</f>
        <v>40</v>
      </c>
      <c r="AD75" s="5"/>
      <c r="AE75" s="5">
        <f t="shared" si="6"/>
        <v>0</v>
      </c>
      <c r="AF75" s="5">
        <f t="shared" si="4"/>
        <v>0</v>
      </c>
      <c r="AG75" s="5">
        <f t="shared" si="7"/>
        <v>30</v>
      </c>
      <c r="AH75" s="5">
        <f t="shared" si="5"/>
        <v>0</v>
      </c>
      <c r="AI75" s="5"/>
      <c r="AJ75" s="5"/>
      <c r="AK75" s="5"/>
    </row>
    <row r="76" spans="4:37" ht="15" customHeight="1">
      <c r="D76" s="212"/>
      <c r="E76" s="35" t="s">
        <v>117</v>
      </c>
      <c r="F76" s="38"/>
      <c r="G76" s="38" t="str">
        <f>traduzioni!A104</f>
        <v xml:space="preserve">Portion comprimée première lame </v>
      </c>
      <c r="H76" s="81">
        <f>IF(H20="L",IF(H75="x&lt;t1",H74,IF(H75="x&gt;t1",Y70)),IF(H20="T",I76,))</f>
        <v>3.9431356245431175</v>
      </c>
      <c r="I76" s="189">
        <v>0</v>
      </c>
      <c r="J76" s="35" t="s">
        <v>35</v>
      </c>
      <c r="K76" s="79"/>
      <c r="L76" s="4"/>
      <c r="M76" s="4"/>
      <c r="N76" s="4"/>
      <c r="O76" s="4"/>
      <c r="P76" s="4"/>
      <c r="U76" s="5"/>
      <c r="V76" s="5">
        <v>7</v>
      </c>
      <c r="W76" s="5">
        <f t="shared" si="0"/>
        <v>1</v>
      </c>
      <c r="X76" s="5" t="str">
        <f>IF(W76=1,"t7","")</f>
        <v>t7</v>
      </c>
      <c r="Y76" s="5">
        <f>W76*IF(X76="",0,IF(--MID(GEOMETRY!$H$31,3,1)=1,--MID(GEOMETRY!$H$32,15+18,2),--MID(GEOMETRY!$H$32,14+18,2)))</f>
        <v>40</v>
      </c>
      <c r="Z76" s="5" t="str">
        <f t="shared" si="1"/>
        <v>L</v>
      </c>
      <c r="AA76" s="5"/>
      <c r="AB76" s="5">
        <f t="shared" si="2"/>
        <v>40</v>
      </c>
      <c r="AC76" s="5">
        <f t="shared" si="3"/>
        <v>40</v>
      </c>
      <c r="AD76" s="5"/>
      <c r="AE76" s="5">
        <f t="shared" si="6"/>
        <v>0</v>
      </c>
      <c r="AF76" s="5">
        <f t="shared" si="4"/>
        <v>0</v>
      </c>
      <c r="AG76" s="5">
        <f t="shared" si="7"/>
        <v>40</v>
      </c>
      <c r="AH76" s="5">
        <f t="shared" si="5"/>
        <v>0</v>
      </c>
      <c r="AI76" s="5"/>
      <c r="AJ76" s="5"/>
      <c r="AK76" s="5"/>
    </row>
    <row r="77" spans="4:37" ht="15" customHeight="1">
      <c r="D77" s="212"/>
      <c r="E77" s="35" t="s">
        <v>7</v>
      </c>
      <c r="F77" s="38"/>
      <c r="G77" s="38" t="str">
        <f>traduzioni!A105</f>
        <v xml:space="preserve">Portion comprimée deuxième lame </v>
      </c>
      <c r="H77" s="81">
        <f>IF(H20="L",IF(H75="x&lt;t1",0,Y71),IF(H20="T",I77,))</f>
        <v>0</v>
      </c>
      <c r="I77" s="189">
        <f>IF(Z84&gt;Y71,"non implementato",Z84)</f>
        <v>4.8676985402242963</v>
      </c>
      <c r="J77" s="35" t="s">
        <v>35</v>
      </c>
      <c r="K77" s="79"/>
      <c r="L77" s="9"/>
      <c r="M77" s="9"/>
      <c r="N77" s="9"/>
      <c r="O77" s="9"/>
      <c r="P77" s="9"/>
      <c r="U77" s="5"/>
      <c r="V77" s="5">
        <v>8</v>
      </c>
      <c r="W77" s="5">
        <f t="shared" si="0"/>
        <v>0</v>
      </c>
      <c r="X77" s="5" t="str">
        <f>IF(W77=1,"t8","")</f>
        <v/>
      </c>
      <c r="Y77" s="5">
        <f>W77*IF(X77="",0,IF(--MID(GEOMETRY!$H$31,3,1)=1,--MID(GEOMETRY!$H$32,15+21,2),--MID(GEOMETRY!$H$32,14+21,2)))</f>
        <v>0</v>
      </c>
      <c r="Z77" s="5" t="str">
        <f t="shared" si="1"/>
        <v>T</v>
      </c>
      <c r="AA77" s="5"/>
      <c r="AB77" s="5">
        <f t="shared" si="2"/>
        <v>0</v>
      </c>
      <c r="AC77" s="5">
        <f t="shared" si="3"/>
        <v>0</v>
      </c>
      <c r="AD77" s="5"/>
      <c r="AE77" s="5">
        <f t="shared" si="6"/>
        <v>0</v>
      </c>
      <c r="AF77" s="5">
        <f t="shared" si="4"/>
        <v>0</v>
      </c>
      <c r="AG77" s="5">
        <f t="shared" si="7"/>
        <v>40</v>
      </c>
      <c r="AH77" s="5">
        <f t="shared" si="5"/>
        <v>0</v>
      </c>
      <c r="AI77" s="5"/>
      <c r="AJ77" s="5"/>
      <c r="AK77" s="5"/>
    </row>
    <row r="78" spans="4:37" ht="15" customHeight="1">
      <c r="D78" s="212"/>
      <c r="E78" s="35" t="s">
        <v>114</v>
      </c>
      <c r="F78" s="38"/>
      <c r="G78" s="38" t="str">
        <f>traduzioni!A106</f>
        <v xml:space="preserve">Portion comprimée troisième lame </v>
      </c>
      <c r="H78" s="81">
        <f>IF(H20="L",IF(H75="x&lt;t1",0,((H56-Y70-Y71)-((H56-Y70-Y71)^2+2*Y70*(H56-Y70/2)-(2*H73*1000*1000/H4/H48))^0.5)),IF(H20="T",I78,))</f>
        <v>0</v>
      </c>
      <c r="I78" s="189">
        <v>0</v>
      </c>
      <c r="J78" s="35" t="s">
        <v>35</v>
      </c>
      <c r="K78" s="79"/>
      <c r="L78" s="4"/>
      <c r="M78" s="4"/>
      <c r="N78" s="4"/>
      <c r="O78" s="4"/>
      <c r="P78" s="4"/>
      <c r="U78" s="5"/>
      <c r="V78" s="5">
        <v>9</v>
      </c>
      <c r="W78" s="5">
        <f t="shared" si="0"/>
        <v>0</v>
      </c>
      <c r="X78" s="5" t="str">
        <f>IF(W78=1,"t9","")</f>
        <v/>
      </c>
      <c r="Y78" s="5">
        <f>W78*IF(X78="",0,IF(--MID(GEOMETRY!$H$31,3,1)=1,--MID(GEOMETRY!$H$32,15+24,2),--MID(GEOMETRY!$H$32,14+24,2)))</f>
        <v>0</v>
      </c>
      <c r="Z78" s="5" t="str">
        <f t="shared" si="1"/>
        <v>L</v>
      </c>
      <c r="AA78" s="5"/>
      <c r="AB78" s="5">
        <f t="shared" si="2"/>
        <v>0</v>
      </c>
      <c r="AC78" s="5">
        <f t="shared" si="3"/>
        <v>0</v>
      </c>
      <c r="AD78" s="5"/>
      <c r="AE78" s="5">
        <f t="shared" si="6"/>
        <v>0</v>
      </c>
      <c r="AF78" s="5">
        <f t="shared" si="4"/>
        <v>0</v>
      </c>
      <c r="AG78" s="5">
        <f t="shared" si="7"/>
        <v>0</v>
      </c>
      <c r="AH78" s="5">
        <f t="shared" si="5"/>
        <v>0</v>
      </c>
      <c r="AI78" s="5"/>
      <c r="AJ78" s="5"/>
      <c r="AK78" s="5"/>
    </row>
    <row r="79" spans="4:37" ht="15" customHeight="1">
      <c r="D79" s="212"/>
      <c r="E79" s="35" t="s">
        <v>147</v>
      </c>
      <c r="F79" s="38"/>
      <c r="G79" s="38" t="str">
        <f>traduzioni!A107</f>
        <v xml:space="preserve">Position résultante </v>
      </c>
      <c r="H79" s="82">
        <f>IF(H20="L",IF(U84&lt;Y70,(H76/2),(0.5*(H78^2+2*H78*(H77+H76)+H76^2)/(H76+H78))),IF(H20="T",I79,))</f>
        <v>1.9715678122715588</v>
      </c>
      <c r="I79" s="190">
        <f>IF(Z84&lt;Y71,(Y70+Z84/2),"non implementato")</f>
        <v>42.433849270112148</v>
      </c>
      <c r="J79" s="35" t="s">
        <v>35</v>
      </c>
      <c r="K79" s="79"/>
      <c r="L79" t="s">
        <v>342</v>
      </c>
      <c r="R79" s="5"/>
      <c r="S79" s="5"/>
      <c r="T79" s="5"/>
      <c r="U79" s="5"/>
      <c r="V79" s="5">
        <v>10</v>
      </c>
      <c r="W79" s="5">
        <f t="shared" si="0"/>
        <v>0</v>
      </c>
      <c r="X79" s="5" t="str">
        <f>IF(W79=1,"t10","")</f>
        <v/>
      </c>
      <c r="Y79" s="5">
        <f>W79*IF(X79="",0,IF(--MID(GEOMETRY!$H$31,3,1)=1,--MID(GEOMETRY!$H$32,15+27,2),--MID(GEOMETRY!$H$32,14+27,2)))</f>
        <v>0</v>
      </c>
      <c r="Z79" s="5" t="str">
        <f t="shared" si="1"/>
        <v>T</v>
      </c>
      <c r="AA79" s="5"/>
      <c r="AB79" s="5">
        <f t="shared" si="2"/>
        <v>0</v>
      </c>
      <c r="AC79" s="5">
        <f t="shared" si="3"/>
        <v>0</v>
      </c>
      <c r="AD79" s="5"/>
      <c r="AE79" s="5">
        <f t="shared" si="6"/>
        <v>0</v>
      </c>
      <c r="AF79" s="5">
        <f t="shared" si="4"/>
        <v>0</v>
      </c>
      <c r="AG79" s="5">
        <f t="shared" si="7"/>
        <v>0</v>
      </c>
      <c r="AH79" s="5">
        <f t="shared" si="5"/>
        <v>0</v>
      </c>
      <c r="AI79" s="5"/>
      <c r="AJ79" s="5"/>
      <c r="AK79" s="5"/>
    </row>
    <row r="80" spans="4:37" ht="15" customHeight="1">
      <c r="D80" s="213"/>
      <c r="E80" s="73" t="s">
        <v>148</v>
      </c>
      <c r="F80" s="74"/>
      <c r="G80" s="74" t="str">
        <f>traduzioni!A108</f>
        <v>Bras de levier</v>
      </c>
      <c r="H80" s="91">
        <f>IF(H20="L",H56-H79,IF(H20="T",H56-I79,"NO"))</f>
        <v>213.02843218772844</v>
      </c>
      <c r="I80" s="91"/>
      <c r="J80" s="73" t="s">
        <v>35</v>
      </c>
      <c r="K80" s="80"/>
      <c r="L80" t="s">
        <v>342</v>
      </c>
      <c r="R80" s="5"/>
      <c r="S80" s="5"/>
      <c r="T80" s="5"/>
      <c r="U80" s="5"/>
      <c r="V80" s="5">
        <v>11</v>
      </c>
      <c r="W80" s="5">
        <f t="shared" si="0"/>
        <v>0</v>
      </c>
      <c r="X80" s="5" t="str">
        <f>IF(W80=1,"t11","")</f>
        <v/>
      </c>
      <c r="Y80" s="5">
        <f>W80*IF(X80="",0,IF(--MID(GEOMETRY!$H$31,3,1)=1,--MID(GEOMETRY!$H$32,15+30,2),--MID(GEOMETRY!$H$32,14+30,2)))</f>
        <v>0</v>
      </c>
      <c r="Z80" s="5" t="str">
        <f t="shared" si="1"/>
        <v>L</v>
      </c>
      <c r="AA80" s="5"/>
      <c r="AB80" s="5">
        <f t="shared" si="2"/>
        <v>0</v>
      </c>
      <c r="AC80" s="5">
        <f t="shared" si="3"/>
        <v>0</v>
      </c>
      <c r="AD80" s="5"/>
      <c r="AE80" s="5">
        <f>AD80*IF(AB80=0,0,1)</f>
        <v>0</v>
      </c>
      <c r="AF80" s="5">
        <f t="shared" si="4"/>
        <v>0</v>
      </c>
      <c r="AG80" s="5">
        <f t="shared" si="7"/>
        <v>0</v>
      </c>
      <c r="AH80" s="5">
        <f t="shared" si="5"/>
        <v>0</v>
      </c>
      <c r="AI80" s="5"/>
      <c r="AJ80" s="5"/>
      <c r="AK80" s="5"/>
    </row>
    <row r="81" spans="4:37" ht="15" customHeight="1">
      <c r="D81" s="29"/>
      <c r="E81" s="35"/>
      <c r="F81" s="38"/>
      <c r="G81" s="38"/>
      <c r="H81" s="82"/>
      <c r="I81" s="82"/>
      <c r="J81" s="35"/>
      <c r="K81" s="38"/>
      <c r="R81" s="5"/>
      <c r="S81" s="5"/>
      <c r="T81" s="5"/>
      <c r="U81" s="5"/>
      <c r="V81" s="5"/>
      <c r="W81" s="5"/>
      <c r="X81" s="5"/>
      <c r="Y81" s="5"/>
      <c r="Z81" s="5"/>
      <c r="AA81" s="5"/>
      <c r="AB81" s="5"/>
      <c r="AC81" s="5" t="s">
        <v>333</v>
      </c>
      <c r="AD81" s="5"/>
      <c r="AE81" s="5">
        <f>SUM(AE70:AE80)</f>
        <v>40</v>
      </c>
      <c r="AF81" s="5">
        <f>SUM(AF70:AF80)</f>
        <v>40</v>
      </c>
      <c r="AG81" s="5">
        <f>SUM(AG70:AG80)</f>
        <v>280</v>
      </c>
      <c r="AH81" s="5">
        <f>SUM(AH70:AH80)</f>
        <v>800</v>
      </c>
      <c r="AI81" s="5"/>
      <c r="AJ81" s="5"/>
      <c r="AK81" s="5"/>
    </row>
    <row r="82" spans="4:37" ht="15" customHeight="1">
      <c r="D82" s="211" t="str">
        <f>traduzioni!A109</f>
        <v>Calcul des efforts</v>
      </c>
      <c r="E82" s="70"/>
      <c r="F82" s="71"/>
      <c r="G82" s="71" t="str">
        <f>traduzioni!A110</f>
        <v>Action maximale sur toutes les vis</v>
      </c>
      <c r="H82" s="94">
        <f>(H9/(H80/1000)+H6)</f>
        <v>55.861088014360853</v>
      </c>
      <c r="I82" s="94"/>
      <c r="J82" s="70" t="s">
        <v>55</v>
      </c>
      <c r="K82" s="252" t="str">
        <f>traduzioni!A119</f>
        <v>(*) nous considérons que la traction est uniquement absorbée par les vis sur la ligne inférieure</v>
      </c>
      <c r="L82" t="str">
        <f>IF(H10="POS",traduzioni!A120, IF(H10="NEG",traduzioni!A121,"NO"))</f>
        <v>Fibres inférieures tendues</v>
      </c>
      <c r="R82" s="5">
        <f>IF(GEOMETRY!H34="L",1,IF(GEOMETRY!H34="T",IF(Z84&lt;Y70,2,0)))</f>
        <v>1</v>
      </c>
      <c r="S82" s="5"/>
      <c r="T82" s="5" t="str">
        <f>IF(U84&lt;Y70,"Set I annex E4",IF(U84&gt;Y70,"Set II annexE5",IF(U85&gt;(Y70+Y71+Y72),"NOT POSSIBLE")))</f>
        <v>Set I annex E4</v>
      </c>
      <c r="U82" s="5"/>
      <c r="V82" s="5"/>
      <c r="W82" s="5"/>
      <c r="X82" s="5"/>
      <c r="Y82" s="5"/>
      <c r="Z82" s="5"/>
      <c r="AA82" s="5"/>
      <c r="AB82" s="5"/>
      <c r="AC82" s="5"/>
      <c r="AD82" s="5"/>
      <c r="AE82" s="5"/>
      <c r="AF82" s="5"/>
      <c r="AG82" s="5"/>
      <c r="AH82" s="5"/>
      <c r="AI82" s="56"/>
      <c r="AJ82" s="5"/>
      <c r="AK82" s="5"/>
    </row>
    <row r="83" spans="4:37" ht="15" customHeight="1">
      <c r="D83" s="212"/>
      <c r="E83" s="35" t="s">
        <v>383</v>
      </c>
      <c r="F83" s="38"/>
      <c r="G83" s="38" t="str">
        <f>traduzioni!A111</f>
        <v>Action maximale sur chaque vis (*)</v>
      </c>
      <c r="H83" s="82">
        <f>(H9/(H80/1000)+H6)*((IF(H10="POS",H31, IF(H10="NEG",H30,"NO")))/1000)</f>
        <v>11.172217602872172</v>
      </c>
      <c r="I83" s="81"/>
      <c r="J83" s="35" t="s">
        <v>55</v>
      </c>
      <c r="K83" s="231"/>
      <c r="L83" t="s">
        <v>338</v>
      </c>
      <c r="R83" s="5">
        <f>IF(GEOMETRY!H34="L",1,IF(GEOMETRY!H34="T",IF(Z84&lt;Y70,2,0)))</f>
        <v>1</v>
      </c>
      <c r="S83" s="5"/>
      <c r="T83" s="5"/>
      <c r="U83" s="5"/>
      <c r="V83" s="5"/>
      <c r="W83" s="5"/>
      <c r="X83" s="5"/>
      <c r="Y83" s="5"/>
      <c r="Z83" s="5"/>
      <c r="AA83" s="5"/>
      <c r="AB83" s="5"/>
      <c r="AC83" s="5"/>
      <c r="AD83" s="5"/>
      <c r="AE83" s="5"/>
      <c r="AF83" s="5"/>
      <c r="AG83" s="5"/>
      <c r="AH83" s="5"/>
      <c r="AI83" s="56"/>
      <c r="AJ83" s="5"/>
      <c r="AK83" s="5"/>
    </row>
    <row r="84" spans="4:37" ht="15" customHeight="1">
      <c r="D84" s="212"/>
      <c r="E84" s="35"/>
      <c r="F84" s="38"/>
      <c r="G84" s="38"/>
      <c r="H84" s="35"/>
      <c r="I84" s="35"/>
      <c r="J84" s="35"/>
      <c r="K84" s="231"/>
      <c r="R84" s="5"/>
      <c r="S84" s="5"/>
      <c r="T84" s="5" t="s">
        <v>111</v>
      </c>
      <c r="U84" s="56">
        <f>H56-(((H48*(H56)^2)-(2*H73*1000))/H48)^0.5</f>
        <v>3.9431356245431175</v>
      </c>
      <c r="V84" s="5" t="s">
        <v>113</v>
      </c>
      <c r="W84" s="5"/>
      <c r="X84" s="5"/>
      <c r="Y84" s="5" t="s">
        <v>111</v>
      </c>
      <c r="Z84" s="5">
        <f>(H56-Y70)-(((H48*(H56-Y70)^2)-(2*H73*1000))/H48)^0.5</f>
        <v>4.8676985402242963</v>
      </c>
      <c r="AA84" s="5"/>
      <c r="AB84" s="5"/>
      <c r="AC84" s="5"/>
      <c r="AD84" s="5"/>
      <c r="AE84" s="5"/>
      <c r="AF84" s="5"/>
      <c r="AG84" s="5"/>
      <c r="AH84" s="5"/>
      <c r="AI84" s="5"/>
      <c r="AJ84" s="5"/>
      <c r="AK84" s="5"/>
    </row>
    <row r="85" spans="4:37" ht="15" customHeight="1">
      <c r="D85" s="212"/>
      <c r="E85" s="35" t="s">
        <v>298</v>
      </c>
      <c r="F85" s="38"/>
      <c r="G85" s="38" t="str">
        <f>traduzioni!A112</f>
        <v>Action maximale des vis en plan sur chaque vis supérieure</v>
      </c>
      <c r="H85" s="81">
        <f>(((ABS(H14)/(H60*10^-3))+(H32/(H32+H33))*ABS(H7))*H30)/1000</f>
        <v>0</v>
      </c>
      <c r="I85" s="35"/>
      <c r="J85" s="35" t="s">
        <v>55</v>
      </c>
      <c r="K85" s="79"/>
      <c r="L85" t="s">
        <v>292</v>
      </c>
      <c r="R85" s="5"/>
      <c r="S85" s="5"/>
      <c r="T85" s="5" t="s">
        <v>112</v>
      </c>
      <c r="U85" s="57">
        <f>((Y70+Y71+((H56-Y70-Y71)-((H56-Y70-Y71)^2+2*Y70*(H56-Y70/2)-(2*H73*1000*1000/1000/H48))^0.5)))</f>
        <v>35.709732556393334</v>
      </c>
      <c r="V85" s="5" t="s">
        <v>113</v>
      </c>
      <c r="W85" s="5"/>
      <c r="X85" s="5"/>
      <c r="Y85" s="5" t="s">
        <v>112</v>
      </c>
      <c r="Z85" s="5">
        <f>((Y70+Y71+((H56-Y70-Y71)-((H56-Y70-Y71)^2+2*Y70*(H56-Y70/2)-(2*H73*1000*1000/1000/H48))^0.5)))</f>
        <v>35.709732556393334</v>
      </c>
      <c r="AA85" s="5"/>
      <c r="AB85" s="5"/>
      <c r="AC85" s="5" t="s">
        <v>290</v>
      </c>
      <c r="AD85" s="5">
        <f>AD70/2</f>
        <v>20</v>
      </c>
      <c r="AE85" s="5" t="s">
        <v>35</v>
      </c>
      <c r="AF85" s="5" t="s">
        <v>336</v>
      </c>
      <c r="AG85" s="5">
        <f>IF(AB69="T",AF71,AF70/2)</f>
        <v>20</v>
      </c>
      <c r="AH85" s="5" t="s">
        <v>113</v>
      </c>
      <c r="AI85" s="5">
        <f>MIN(AG85,AG86)</f>
        <v>20</v>
      </c>
      <c r="AJ85" s="5" t="s">
        <v>113</v>
      </c>
      <c r="AK85" s="5"/>
    </row>
    <row r="86" spans="4:37" ht="15" customHeight="1">
      <c r="D86" s="212"/>
      <c r="E86" s="35" t="s">
        <v>299</v>
      </c>
      <c r="F86" s="38"/>
      <c r="G86" s="38" t="str">
        <f>traduzioni!A113</f>
        <v>Action maximale des vis en plan sur chaque vis inférieure</v>
      </c>
      <c r="H86" s="81">
        <f>(((ABS(H14)/(H60*10^-3))+(H33/(H32+H33))*ABS(H7))*H31)/1000</f>
        <v>0</v>
      </c>
      <c r="I86" s="35"/>
      <c r="J86" s="35" t="s">
        <v>55</v>
      </c>
      <c r="K86" s="79"/>
      <c r="L86" t="s">
        <v>293</v>
      </c>
      <c r="R86" s="5"/>
      <c r="S86" s="5"/>
      <c r="T86" s="5"/>
      <c r="U86" s="56"/>
      <c r="V86" s="5"/>
      <c r="W86" s="5"/>
      <c r="X86" s="5"/>
      <c r="Y86" s="5"/>
      <c r="Z86" s="5"/>
      <c r="AA86" s="5"/>
      <c r="AB86" s="5"/>
      <c r="AC86" s="5" t="s">
        <v>291</v>
      </c>
      <c r="AD86" s="58">
        <f>AH81/AF81</f>
        <v>20</v>
      </c>
      <c r="AE86" s="5" t="s">
        <v>35</v>
      </c>
      <c r="AF86" s="5"/>
      <c r="AG86" s="5">
        <f>AF81</f>
        <v>40</v>
      </c>
      <c r="AH86" s="5" t="s">
        <v>113</v>
      </c>
      <c r="AI86" s="5"/>
      <c r="AJ86" s="5"/>
      <c r="AK86" s="5"/>
    </row>
    <row r="87" spans="4:37" ht="15" customHeight="1">
      <c r="D87" s="212"/>
      <c r="E87" s="35" t="s">
        <v>300</v>
      </c>
      <c r="F87" s="38"/>
      <c r="G87" s="38" t="str">
        <f>traduzioni!A114</f>
        <v>Action maximale des vis hors plan sur chaque vis supérieure</v>
      </c>
      <c r="H87" s="81">
        <f>((H32/(H32+H33))*H8)*(H30/1000)</f>
        <v>0</v>
      </c>
      <c r="I87" s="35"/>
      <c r="J87" s="35" t="s">
        <v>55</v>
      </c>
      <c r="K87" s="79"/>
      <c r="L87" t="s">
        <v>294</v>
      </c>
      <c r="R87" s="5"/>
      <c r="S87" s="5"/>
      <c r="T87" s="5"/>
      <c r="U87" s="5"/>
      <c r="V87" s="5"/>
      <c r="W87" s="5"/>
      <c r="X87" s="5"/>
      <c r="Y87" s="5"/>
      <c r="Z87" s="5"/>
      <c r="AA87" s="5"/>
      <c r="AB87" s="5"/>
      <c r="AC87" s="5"/>
      <c r="AD87" s="58">
        <f>IF(AB69="T",AD86,IF(AI85=AG85,AD85,IF(AI85=AG86,AD86)))</f>
        <v>20</v>
      </c>
      <c r="AE87" s="5" t="s">
        <v>35</v>
      </c>
      <c r="AF87" s="5"/>
      <c r="AG87" s="5"/>
      <c r="AH87" s="5"/>
      <c r="AI87" s="5"/>
      <c r="AJ87" s="5"/>
      <c r="AK87" s="5"/>
    </row>
    <row r="88" spans="4:37" ht="15" customHeight="1">
      <c r="D88" s="212"/>
      <c r="E88" s="35" t="s">
        <v>301</v>
      </c>
      <c r="F88" s="38"/>
      <c r="G88" s="38" t="str">
        <f>traduzioni!A115</f>
        <v>Action maximale des vis hors plan sur chaque vis inférieure</v>
      </c>
      <c r="H88" s="81">
        <f>((H33/(H32+H33))*H8)*(H31/1000)</f>
        <v>0</v>
      </c>
      <c r="I88" s="35"/>
      <c r="J88" s="35" t="s">
        <v>55</v>
      </c>
      <c r="K88" s="79"/>
      <c r="L88" t="s">
        <v>295</v>
      </c>
      <c r="R88" s="5"/>
      <c r="S88" s="5"/>
      <c r="T88" s="59"/>
      <c r="U88" s="59"/>
      <c r="V88" s="59"/>
      <c r="W88" s="59"/>
      <c r="X88" s="60"/>
      <c r="Y88" s="60"/>
      <c r="Z88" s="60"/>
      <c r="AA88" s="60"/>
      <c r="AB88" s="5"/>
      <c r="AC88" s="5"/>
      <c r="AD88" s="5"/>
      <c r="AE88" s="5"/>
      <c r="AF88" s="5"/>
      <c r="AG88" s="5"/>
      <c r="AH88" s="5"/>
      <c r="AI88" s="5"/>
      <c r="AJ88" s="5"/>
      <c r="AK88" s="5"/>
    </row>
    <row r="89" spans="4:37" ht="15" customHeight="1">
      <c r="D89" s="212"/>
      <c r="E89" s="35" t="s">
        <v>303</v>
      </c>
      <c r="F89" s="38"/>
      <c r="G89" s="38" t="str">
        <f>traduzioni!A116</f>
        <v>Action combinée sur chaque vis supérieure</v>
      </c>
      <c r="H89" s="81">
        <f>(H85^2+H87^2)^0.5</f>
        <v>0</v>
      </c>
      <c r="I89" s="35"/>
      <c r="J89" s="35" t="s">
        <v>55</v>
      </c>
      <c r="K89" s="79"/>
      <c r="L89" t="s">
        <v>296</v>
      </c>
      <c r="R89" s="5"/>
      <c r="S89" s="5"/>
      <c r="T89" s="59"/>
      <c r="U89" s="59" t="s">
        <v>119</v>
      </c>
      <c r="V89" s="59"/>
      <c r="W89" s="59"/>
      <c r="X89" s="60"/>
      <c r="Y89" s="59" t="s">
        <v>119</v>
      </c>
      <c r="Z89" s="59"/>
      <c r="AA89" s="59"/>
      <c r="AB89" s="5"/>
      <c r="AC89" s="5"/>
      <c r="AD89" s="5"/>
      <c r="AE89" s="5"/>
      <c r="AF89" s="5"/>
      <c r="AG89" s="5"/>
      <c r="AH89" s="5"/>
      <c r="AI89" s="5"/>
      <c r="AJ89" s="5"/>
      <c r="AK89" s="5"/>
    </row>
    <row r="90" spans="4:37" ht="15" customHeight="1">
      <c r="D90" s="212"/>
      <c r="E90" s="35" t="s">
        <v>302</v>
      </c>
      <c r="F90" s="38"/>
      <c r="G90" s="38" t="str">
        <f>traduzioni!A117</f>
        <v>Action combinée sur chaque vis inférieure</v>
      </c>
      <c r="H90" s="81">
        <f>(H86^2+H88^2)^0.5</f>
        <v>0</v>
      </c>
      <c r="I90" s="35"/>
      <c r="J90" s="35" t="s">
        <v>55</v>
      </c>
      <c r="K90" s="79"/>
      <c r="L90" t="s">
        <v>297</v>
      </c>
      <c r="R90" s="5"/>
      <c r="S90" s="5"/>
      <c r="T90" s="59"/>
      <c r="U90" s="59" t="s">
        <v>118</v>
      </c>
      <c r="V90" s="61">
        <f>V92+V93+V94</f>
        <v>35.709732556393334</v>
      </c>
      <c r="W90" s="59" t="s">
        <v>35</v>
      </c>
      <c r="X90" s="60"/>
      <c r="Y90" s="59" t="s">
        <v>118</v>
      </c>
      <c r="Z90" s="61">
        <f>V92+V93+V94</f>
        <v>35.709732556393334</v>
      </c>
      <c r="AA90" s="59" t="s">
        <v>35</v>
      </c>
      <c r="AB90" s="5"/>
      <c r="AC90" s="5"/>
      <c r="AD90" s="5"/>
      <c r="AE90" s="5"/>
      <c r="AF90" s="5"/>
      <c r="AG90" s="5"/>
      <c r="AH90" s="5"/>
      <c r="AI90" s="5"/>
      <c r="AJ90" s="5"/>
      <c r="AK90" s="5"/>
    </row>
    <row r="91" spans="4:37" ht="15" customHeight="1">
      <c r="D91" s="213"/>
      <c r="E91" s="73"/>
      <c r="F91" s="74"/>
      <c r="G91" s="74" t="str">
        <f>traduzioni!A118</f>
        <v>Action tranchante maximale</v>
      </c>
      <c r="H91" s="95">
        <f>MAX(H90,H89)</f>
        <v>0</v>
      </c>
      <c r="I91" s="73"/>
      <c r="J91" s="73" t="s">
        <v>55</v>
      </c>
      <c r="K91" s="80"/>
      <c r="R91" s="5"/>
      <c r="S91" s="5"/>
      <c r="T91" s="59"/>
      <c r="U91" s="59"/>
      <c r="V91" s="61"/>
      <c r="W91" s="59"/>
      <c r="X91" s="60"/>
      <c r="Y91" s="59"/>
      <c r="Z91" s="61"/>
      <c r="AA91" s="59"/>
      <c r="AB91" s="5"/>
      <c r="AC91" s="5"/>
      <c r="AD91" s="5"/>
      <c r="AE91" s="5"/>
      <c r="AF91" s="5"/>
      <c r="AG91" s="5"/>
      <c r="AH91" s="5"/>
      <c r="AI91" s="5"/>
      <c r="AJ91" s="5"/>
      <c r="AK91" s="5"/>
    </row>
    <row r="92" spans="4:37" ht="15" customHeight="1">
      <c r="D92" s="29"/>
      <c r="E92" s="35"/>
      <c r="F92" s="38"/>
      <c r="G92" s="38"/>
      <c r="H92" s="35"/>
      <c r="I92" s="35"/>
      <c r="J92" s="35"/>
      <c r="K92" s="38"/>
      <c r="R92" s="5"/>
      <c r="S92" s="5"/>
      <c r="T92" s="59"/>
      <c r="U92" s="59" t="s">
        <v>117</v>
      </c>
      <c r="V92" s="59">
        <f>Y70</f>
        <v>40</v>
      </c>
      <c r="W92" s="59" t="s">
        <v>35</v>
      </c>
      <c r="X92" s="60"/>
      <c r="Y92" s="59" t="s">
        <v>117</v>
      </c>
      <c r="Z92" s="59">
        <f>Y70</f>
        <v>40</v>
      </c>
      <c r="AA92" s="59" t="s">
        <v>35</v>
      </c>
      <c r="AB92" s="5"/>
      <c r="AC92" s="5"/>
      <c r="AD92" s="5"/>
      <c r="AE92" s="5"/>
      <c r="AF92" s="5"/>
      <c r="AG92" s="5"/>
      <c r="AH92" s="5"/>
      <c r="AI92" s="5"/>
      <c r="AJ92" s="5"/>
      <c r="AK92" s="5"/>
    </row>
    <row r="93" spans="4:37" ht="15" customHeight="1">
      <c r="D93" s="211" t="str">
        <f>traduzioni!A122</f>
        <v>Vérification</v>
      </c>
      <c r="E93" s="70" t="s">
        <v>169</v>
      </c>
      <c r="F93" s="71"/>
      <c r="G93" s="71" t="str">
        <f>traduzioni!A123</f>
        <v>Résistance axiale d’une vis côté bois/acier</v>
      </c>
      <c r="H93" s="84">
        <f>SCREWS!I34</f>
        <v>15.619848046965735</v>
      </c>
      <c r="I93" s="84"/>
      <c r="J93" s="70" t="s">
        <v>55</v>
      </c>
      <c r="K93" s="75"/>
      <c r="R93" s="5"/>
      <c r="S93" s="5"/>
      <c r="T93" s="59"/>
      <c r="U93" s="59" t="s">
        <v>116</v>
      </c>
      <c r="V93" s="59">
        <f>Y71</f>
        <v>40</v>
      </c>
      <c r="W93" s="59" t="s">
        <v>35</v>
      </c>
      <c r="X93" s="60"/>
      <c r="Y93" s="59" t="s">
        <v>116</v>
      </c>
      <c r="Z93" s="59">
        <f>Y71</f>
        <v>40</v>
      </c>
      <c r="AA93" s="59" t="s">
        <v>35</v>
      </c>
      <c r="AB93" s="5"/>
      <c r="AC93" s="5"/>
      <c r="AD93" s="5"/>
      <c r="AE93" s="5"/>
      <c r="AF93" s="5"/>
      <c r="AG93" s="5"/>
      <c r="AH93" s="5"/>
      <c r="AI93" s="5"/>
      <c r="AJ93" s="5"/>
      <c r="AK93" s="5"/>
    </row>
    <row r="94" spans="4:37" ht="15" customHeight="1">
      <c r="D94" s="212"/>
      <c r="E94" s="35" t="s">
        <v>170</v>
      </c>
      <c r="F94" s="38"/>
      <c r="G94" s="38" t="str">
        <f>traduzioni!A124</f>
        <v xml:space="preserve">Résistance au cisaillement de chaque vis </v>
      </c>
      <c r="H94" s="81">
        <f>IF(H28&lt;H29,SCREWS!D48*(H28/H29),SCREWS!D48)</f>
        <v>4.209713784863423</v>
      </c>
      <c r="I94" s="35"/>
      <c r="J94" s="35" t="s">
        <v>55</v>
      </c>
      <c r="K94" s="79"/>
      <c r="R94" s="5"/>
      <c r="S94" s="5"/>
      <c r="T94" s="59"/>
      <c r="U94" s="59" t="s">
        <v>114</v>
      </c>
      <c r="V94" s="61">
        <f>(H56-Y70-Y71)-((H56-Y70-Y71)^2+2*Y70*(H56-Y70/2)-(2*H73*1000*1000/1000/H48))^0.5</f>
        <v>-44.290267443606666</v>
      </c>
      <c r="W94" s="59" t="s">
        <v>35</v>
      </c>
      <c r="X94" s="60"/>
      <c r="Y94" s="59" t="s">
        <v>114</v>
      </c>
      <c r="Z94" s="61">
        <f>Y73</f>
        <v>40</v>
      </c>
      <c r="AA94" s="59" t="s">
        <v>35</v>
      </c>
      <c r="AB94" s="5"/>
      <c r="AC94" s="5"/>
      <c r="AD94" s="5"/>
      <c r="AE94" s="5"/>
      <c r="AF94" s="5"/>
      <c r="AG94" s="5"/>
      <c r="AH94" s="5"/>
      <c r="AI94" s="5"/>
      <c r="AJ94" s="5"/>
      <c r="AK94" s="5"/>
    </row>
    <row r="95" spans="4:37" ht="15" customHeight="1">
      <c r="D95" s="212"/>
      <c r="E95" s="96" t="s">
        <v>141</v>
      </c>
      <c r="F95" s="38"/>
      <c r="G95" s="97" t="str">
        <f>traduzioni!A125</f>
        <v xml:space="preserve">Taux de travail effort axial </v>
      </c>
      <c r="H95" s="98">
        <f>(H83/H93)*100</f>
        <v>71.525776494621226</v>
      </c>
      <c r="I95" s="81"/>
      <c r="J95" s="35" t="s">
        <v>102</v>
      </c>
      <c r="K95" s="79" t="str">
        <f>IF(H95&lt;100,"OK","NO")</f>
        <v>OK</v>
      </c>
      <c r="L95" t="s">
        <v>224</v>
      </c>
      <c r="T95" s="6"/>
      <c r="U95" s="59"/>
      <c r="V95" s="59"/>
      <c r="W95" s="59"/>
      <c r="X95" s="60"/>
      <c r="Y95" s="59" t="s">
        <v>120</v>
      </c>
      <c r="Z95" s="61">
        <f>(H56-Y71-Y72)-((++(H56-Y71-Y72)^2+2*Y71*(H56-Y71/2)-(2*H73*1000*1000/1000/H48))^0.5)</f>
        <v>-41.935817862709229</v>
      </c>
      <c r="AA95" s="59" t="s">
        <v>35</v>
      </c>
      <c r="AB95" s="5"/>
      <c r="AC95" s="5"/>
      <c r="AD95" s="5"/>
      <c r="AE95" s="5"/>
      <c r="AF95" s="5"/>
      <c r="AG95" s="5"/>
      <c r="AH95" s="5"/>
      <c r="AI95" s="5"/>
      <c r="AJ95" s="5"/>
      <c r="AK95" s="5"/>
    </row>
    <row r="96" spans="4:37" ht="15" customHeight="1">
      <c r="D96" s="212"/>
      <c r="E96" s="96" t="s">
        <v>141</v>
      </c>
      <c r="F96" s="38"/>
      <c r="G96" s="97" t="str">
        <f>traduzioni!A126</f>
        <v xml:space="preserve">Taux de travail effort au cisaillement </v>
      </c>
      <c r="H96" s="99">
        <f>(H91/H94)*100</f>
        <v>0</v>
      </c>
      <c r="I96" s="35"/>
      <c r="J96" s="35" t="s">
        <v>102</v>
      </c>
      <c r="K96" s="79" t="str">
        <f t="shared" ref="K96" si="8">IF(H96&lt;100,"OK","NO")</f>
        <v>OK</v>
      </c>
      <c r="L96" t="s">
        <v>225</v>
      </c>
      <c r="Q96" s="7"/>
      <c r="U96" s="5"/>
      <c r="V96" s="5"/>
      <c r="W96" s="5"/>
      <c r="X96" s="5"/>
      <c r="Y96" s="5"/>
      <c r="Z96" s="5"/>
      <c r="AA96" s="5"/>
      <c r="AB96" s="5"/>
      <c r="AC96" s="5"/>
      <c r="AD96" s="5"/>
      <c r="AE96" s="5"/>
      <c r="AF96" s="5"/>
      <c r="AG96" s="5"/>
      <c r="AH96" s="5"/>
      <c r="AI96" s="5"/>
      <c r="AJ96" s="5"/>
      <c r="AK96" s="5"/>
    </row>
    <row r="97" spans="4:37" ht="15" customHeight="1">
      <c r="D97" s="213"/>
      <c r="E97" s="100" t="s">
        <v>141</v>
      </c>
      <c r="F97" s="74"/>
      <c r="G97" s="101" t="str">
        <f>traduzioni!A127</f>
        <v xml:space="preserve">Taux de travail combinaison cisaillement traction </v>
      </c>
      <c r="H97" s="102">
        <f>((H95/100)^2+(H96/100)^2)*100</f>
        <v>51.159367031585113</v>
      </c>
      <c r="I97" s="73"/>
      <c r="J97" s="73" t="s">
        <v>102</v>
      </c>
      <c r="K97" s="80" t="str">
        <f>IF(H97&lt;100,"OK","NO")</f>
        <v>OK</v>
      </c>
      <c r="L97" t="s">
        <v>226</v>
      </c>
      <c r="Q97" s="8"/>
      <c r="U97" s="5"/>
      <c r="V97" s="5"/>
      <c r="W97" s="5"/>
      <c r="X97" s="5"/>
      <c r="Y97" s="5"/>
      <c r="Z97" s="5"/>
      <c r="AA97" s="5"/>
      <c r="AB97" s="5"/>
      <c r="AC97" s="5"/>
      <c r="AD97" s="5"/>
      <c r="AE97" s="5"/>
      <c r="AF97" s="5"/>
      <c r="AG97" s="5"/>
      <c r="AH97" s="5"/>
      <c r="AI97" s="5"/>
      <c r="AJ97" s="5"/>
      <c r="AK97" s="5"/>
    </row>
    <row r="98" spans="4:37" ht="15" customHeight="1">
      <c r="D98" s="29"/>
      <c r="E98" s="35"/>
      <c r="F98" s="38"/>
      <c r="G98" s="38"/>
      <c r="H98" s="35"/>
      <c r="I98" s="35"/>
      <c r="J98" s="35"/>
      <c r="K98" s="38"/>
      <c r="U98" s="5"/>
      <c r="V98" s="5"/>
      <c r="W98" s="5"/>
      <c r="X98" s="5"/>
      <c r="Y98" s="5"/>
      <c r="Z98" s="5"/>
      <c r="AA98" s="5"/>
      <c r="AB98" s="5"/>
      <c r="AC98" s="5"/>
      <c r="AD98" s="5"/>
      <c r="AE98" s="5"/>
      <c r="AF98" s="5"/>
      <c r="AG98" s="5"/>
      <c r="AH98" s="5"/>
      <c r="AI98" s="5"/>
      <c r="AJ98" s="5"/>
      <c r="AK98" s="5"/>
    </row>
    <row r="99" spans="4:37" ht="15" customHeight="1">
      <c r="D99" s="235" t="str">
        <f>traduzioni!A128</f>
        <v>Vérification ancrage côté béton</v>
      </c>
      <c r="E99" s="70" t="s">
        <v>136</v>
      </c>
      <c r="F99" s="71"/>
      <c r="G99" s="71" t="str">
        <f>traduzioni!A129</f>
        <v>Longueur ancrage requise</v>
      </c>
      <c r="H99" s="94">
        <f>H83*1000/(H24*PI()*(H49/CONCRETE!H26))</f>
        <v>38.795207057354006</v>
      </c>
      <c r="I99" s="94"/>
      <c r="J99" s="70" t="s">
        <v>35</v>
      </c>
      <c r="K99" s="75"/>
      <c r="L99" t="s">
        <v>341</v>
      </c>
      <c r="U99" s="5"/>
      <c r="V99" s="5"/>
      <c r="W99" s="5"/>
      <c r="X99" s="5"/>
      <c r="Y99" s="5"/>
      <c r="Z99" s="5"/>
      <c r="AA99" s="5"/>
      <c r="AB99" s="5"/>
      <c r="AC99" s="5"/>
      <c r="AD99" s="5"/>
      <c r="AE99" s="5"/>
      <c r="AF99" s="5"/>
      <c r="AG99" s="5"/>
      <c r="AH99" s="5"/>
      <c r="AI99" s="5"/>
      <c r="AJ99" s="5"/>
      <c r="AK99" s="5"/>
    </row>
    <row r="100" spans="4:37" ht="15" customHeight="1">
      <c r="D100" s="236"/>
      <c r="E100" s="35" t="s">
        <v>138</v>
      </c>
      <c r="F100" s="38"/>
      <c r="G100" s="38" t="str">
        <f>traduzioni!A130</f>
        <v>Longueur ancrage minimum</v>
      </c>
      <c r="H100" s="82">
        <f>H99*(H83/H93)</f>
        <v>27.748573090468547</v>
      </c>
      <c r="I100" s="82"/>
      <c r="J100" s="35" t="s">
        <v>35</v>
      </c>
      <c r="K100" s="79"/>
      <c r="L100" t="s">
        <v>339</v>
      </c>
      <c r="U100" s="5"/>
      <c r="V100" s="5"/>
      <c r="W100" s="5"/>
      <c r="X100" s="5"/>
      <c r="Y100" s="5"/>
      <c r="Z100" s="5"/>
      <c r="AA100" s="5"/>
      <c r="AB100" s="5"/>
      <c r="AC100" s="5"/>
      <c r="AD100" s="5"/>
      <c r="AE100" s="5"/>
      <c r="AF100" s="5"/>
      <c r="AG100" s="5"/>
      <c r="AH100" s="5"/>
      <c r="AI100" s="5"/>
      <c r="AJ100" s="5"/>
      <c r="AK100" s="5"/>
    </row>
    <row r="101" spans="4:37" ht="15" customHeight="1">
      <c r="D101" s="236"/>
      <c r="E101" s="35"/>
      <c r="F101" s="38"/>
      <c r="G101" s="38" t="str">
        <f>traduzioni!A131</f>
        <v>Longueur effective</v>
      </c>
      <c r="H101" s="35">
        <f>H57</f>
        <v>180</v>
      </c>
      <c r="I101" s="35"/>
      <c r="J101" s="35" t="s">
        <v>35</v>
      </c>
      <c r="K101" s="79"/>
      <c r="U101" s="5"/>
      <c r="V101" s="5"/>
      <c r="W101" s="5"/>
      <c r="X101" s="5"/>
      <c r="Y101" s="5"/>
      <c r="Z101" s="5"/>
      <c r="AA101" s="5"/>
      <c r="AB101" s="5"/>
      <c r="AC101" s="5"/>
      <c r="AD101" s="5"/>
      <c r="AE101" s="5"/>
      <c r="AF101" s="5"/>
      <c r="AG101" s="5"/>
      <c r="AH101" s="5"/>
      <c r="AI101" s="5"/>
      <c r="AJ101" s="5"/>
      <c r="AK101" s="5"/>
    </row>
    <row r="102" spans="4:37" ht="15" customHeight="1">
      <c r="D102" s="236"/>
      <c r="E102" s="35" t="s">
        <v>139</v>
      </c>
      <c r="F102" s="38"/>
      <c r="G102" s="38" t="str">
        <f>traduzioni!A132</f>
        <v>Longueur d’ancrage</v>
      </c>
      <c r="H102" s="35">
        <f>MAX(9*H24,100)</f>
        <v>100</v>
      </c>
      <c r="I102" s="35"/>
      <c r="J102" s="35" t="s">
        <v>35</v>
      </c>
      <c r="K102" s="79"/>
    </row>
    <row r="103" spans="4:37" ht="15" customHeight="1">
      <c r="D103" s="236"/>
      <c r="E103" s="96" t="s">
        <v>141</v>
      </c>
      <c r="F103" s="38"/>
      <c r="G103" s="97" t="str">
        <f>traduzioni!A133</f>
        <v xml:space="preserve">Taux de travail </v>
      </c>
      <c r="H103" s="98">
        <f>(H102/H101)*100</f>
        <v>55.555555555555557</v>
      </c>
      <c r="I103" s="81"/>
      <c r="J103" s="35" t="s">
        <v>102</v>
      </c>
      <c r="K103" s="79" t="str">
        <f>IF(H103&lt;100,"OK","NO")</f>
        <v>OK</v>
      </c>
      <c r="L103" t="s">
        <v>227</v>
      </c>
    </row>
    <row r="104" spans="4:37" ht="15" customHeight="1">
      <c r="D104" s="236"/>
      <c r="E104" s="35"/>
      <c r="F104" s="38"/>
      <c r="G104" s="38"/>
      <c r="H104" s="35"/>
      <c r="I104" s="35"/>
      <c r="J104" s="35"/>
      <c r="K104" s="79"/>
    </row>
    <row r="105" spans="4:37" ht="15" customHeight="1">
      <c r="D105" s="236"/>
      <c r="E105" s="35" t="s">
        <v>143</v>
      </c>
      <c r="F105" s="38"/>
      <c r="G105" s="38" t="str">
        <f>traduzioni!A134</f>
        <v xml:space="preserve">Longueur overlap </v>
      </c>
      <c r="H105" s="81">
        <f>1.5*H100</f>
        <v>41.622859635702824</v>
      </c>
      <c r="I105" s="81"/>
      <c r="J105" s="35" t="s">
        <v>35</v>
      </c>
      <c r="K105" s="79"/>
    </row>
    <row r="106" spans="4:37" ht="15" customHeight="1">
      <c r="D106" s="236"/>
      <c r="E106" s="35" t="s">
        <v>144</v>
      </c>
      <c r="F106" s="38"/>
      <c r="G106" s="38" t="str">
        <f>traduzioni!A135</f>
        <v>Longueur minimum overlap</v>
      </c>
      <c r="H106" s="35">
        <f>MAX(14*H24,150)</f>
        <v>154</v>
      </c>
      <c r="I106" s="35"/>
      <c r="J106" s="35" t="s">
        <v>35</v>
      </c>
      <c r="K106" s="79"/>
      <c r="L106" t="s">
        <v>339</v>
      </c>
    </row>
    <row r="107" spans="4:37" ht="15" customHeight="1">
      <c r="D107" s="236"/>
      <c r="E107" s="35"/>
      <c r="F107" s="38"/>
      <c r="G107" s="38" t="str">
        <f>traduzioni!A136</f>
        <v>Longueur effective</v>
      </c>
      <c r="H107" s="35">
        <f>H54</f>
        <v>160</v>
      </c>
      <c r="I107" s="35"/>
      <c r="J107" s="35" t="s">
        <v>35</v>
      </c>
      <c r="K107" s="79"/>
    </row>
    <row r="108" spans="4:37" ht="15" customHeight="1">
      <c r="D108" s="237"/>
      <c r="E108" s="100" t="s">
        <v>146</v>
      </c>
      <c r="F108" s="74"/>
      <c r="G108" s="101" t="str">
        <f>traduzioni!A137</f>
        <v>Taux de travail</v>
      </c>
      <c r="H108" s="102">
        <f>(H106/H107)*100</f>
        <v>96.25</v>
      </c>
      <c r="I108" s="95"/>
      <c r="J108" s="73" t="s">
        <v>102</v>
      </c>
      <c r="K108" s="80" t="str">
        <f>IF(H108&lt;100,"OK","NO")</f>
        <v>OK</v>
      </c>
      <c r="L108" t="s">
        <v>227</v>
      </c>
    </row>
    <row r="109" spans="4:37" ht="15" customHeight="1">
      <c r="D109" s="87"/>
      <c r="E109" s="103"/>
      <c r="F109" s="38"/>
      <c r="G109" s="38"/>
      <c r="H109" s="81"/>
      <c r="I109" s="81"/>
      <c r="J109" s="35"/>
      <c r="K109" s="38"/>
    </row>
    <row r="110" spans="4:37" ht="15" customHeight="1">
      <c r="D110" s="211" t="str">
        <f>traduzioni!A138</f>
        <v>Rigidité cisaillement/flexion</v>
      </c>
      <c r="E110" s="70" t="s">
        <v>252</v>
      </c>
      <c r="F110" s="71"/>
      <c r="G110" s="71" t="str">
        <f>traduzioni!A139</f>
        <v>Rigidité au cisaillement</v>
      </c>
      <c r="H110" s="94">
        <f>((H32+H33)*SCREWS!D53)/2</f>
        <v>19283.483171659776</v>
      </c>
      <c r="I110" s="84"/>
      <c r="J110" s="70" t="s">
        <v>276</v>
      </c>
      <c r="K110" s="75"/>
      <c r="L110" t="s">
        <v>277</v>
      </c>
    </row>
    <row r="111" spans="4:37" ht="15" customHeight="1">
      <c r="D111" s="212"/>
      <c r="E111" s="35"/>
      <c r="F111" s="38"/>
      <c r="G111" s="38"/>
      <c r="H111" s="35"/>
      <c r="I111" s="35"/>
      <c r="J111" s="35"/>
      <c r="K111" s="79"/>
    </row>
    <row r="112" spans="4:37" ht="15" customHeight="1">
      <c r="D112" s="212"/>
      <c r="E112" s="35"/>
      <c r="F112" s="38"/>
      <c r="G112" s="88" t="str">
        <f>traduzioni!A140</f>
        <v>première couche</v>
      </c>
      <c r="H112" s="38">
        <f>IF(H20="L",Y70,IF(H20="T",Y71))</f>
        <v>40</v>
      </c>
      <c r="I112" s="35"/>
      <c r="J112" s="35" t="s">
        <v>35</v>
      </c>
      <c r="K112" s="79"/>
    </row>
    <row r="113" spans="4:20" ht="15" customHeight="1">
      <c r="D113" s="212"/>
      <c r="E113" s="35"/>
      <c r="F113" s="38"/>
      <c r="G113" s="88" t="str">
        <f>traduzioni!A141</f>
        <v>25 % épaisseur</v>
      </c>
      <c r="H113" s="38">
        <f>IF(AND(GEOMETRY!H34="T",H19=160),0.25*(H19-Y70),IF(GEOMETRY!H34="T",0.25*H19-Y70,0.25*H19))</f>
        <v>65</v>
      </c>
      <c r="I113" s="35"/>
      <c r="J113" s="35" t="s">
        <v>35</v>
      </c>
      <c r="K113" s="79"/>
      <c r="T113" t="s">
        <v>255</v>
      </c>
    </row>
    <row r="114" spans="4:20" ht="15" customHeight="1">
      <c r="D114" s="212"/>
      <c r="E114" s="35"/>
      <c r="F114" s="38"/>
      <c r="G114" s="88" t="str">
        <f>traduzioni!A142</f>
        <v>a_t(25 %)</v>
      </c>
      <c r="H114" s="89">
        <f>AD87</f>
        <v>20</v>
      </c>
      <c r="I114" s="35"/>
      <c r="J114" s="35"/>
      <c r="K114" s="79"/>
    </row>
    <row r="115" spans="4:20" ht="15" customHeight="1">
      <c r="D115" s="212"/>
      <c r="E115" s="35"/>
      <c r="F115" s="38"/>
      <c r="G115" s="38"/>
      <c r="H115" s="35"/>
      <c r="I115" s="35"/>
      <c r="J115" s="35"/>
      <c r="K115" s="79"/>
    </row>
    <row r="116" spans="4:20" ht="15" customHeight="1">
      <c r="D116" s="212"/>
      <c r="E116" s="35" t="s">
        <v>254</v>
      </c>
      <c r="F116" s="38"/>
      <c r="G116" s="38" t="str">
        <f>traduzioni!A143</f>
        <v>Longueur comprimée calcul pour rigidité</v>
      </c>
      <c r="H116" s="82">
        <f>MIN(H112,H113)</f>
        <v>40</v>
      </c>
      <c r="I116" s="35"/>
      <c r="J116" s="35" t="s">
        <v>35</v>
      </c>
      <c r="K116" s="79"/>
    </row>
    <row r="117" spans="4:20" ht="15" customHeight="1">
      <c r="D117" s="212"/>
      <c r="E117" s="35" t="s">
        <v>258</v>
      </c>
      <c r="F117" s="38"/>
      <c r="G117" s="38" t="str">
        <f>traduzioni!A144</f>
        <v>Bras de levier</v>
      </c>
      <c r="H117" s="82">
        <f>IF(GEOMETRY!H34="T",H56-Y70-H116/2,H56-H116/2)</f>
        <v>195</v>
      </c>
      <c r="I117" s="35"/>
      <c r="J117" s="35" t="s">
        <v>35</v>
      </c>
      <c r="K117" s="79"/>
    </row>
    <row r="118" spans="4:20" ht="15" customHeight="1">
      <c r="D118" s="212"/>
      <c r="E118" s="35" t="s">
        <v>260</v>
      </c>
      <c r="F118" s="38"/>
      <c r="G118" s="38" t="str">
        <f>traduzioni!A145</f>
        <v>Moment de référence</v>
      </c>
      <c r="H118" s="82">
        <v>1000</v>
      </c>
      <c r="I118" s="35"/>
      <c r="J118" s="35" t="s">
        <v>261</v>
      </c>
      <c r="K118" s="79"/>
    </row>
    <row r="119" spans="4:20" ht="15" customHeight="1">
      <c r="D119" s="212"/>
      <c r="E119" s="35" t="s">
        <v>259</v>
      </c>
      <c r="F119" s="38"/>
      <c r="G119" s="38" t="str">
        <f>traduzioni!A146</f>
        <v>Force sur vis de référence</v>
      </c>
      <c r="H119" s="82">
        <f>H118/(H117/1000)</f>
        <v>5128.2051282051279</v>
      </c>
      <c r="I119" s="35"/>
      <c r="J119" s="35" t="s">
        <v>278</v>
      </c>
      <c r="K119" s="79"/>
      <c r="L119" t="s">
        <v>346</v>
      </c>
    </row>
    <row r="120" spans="4:20" ht="15" customHeight="1">
      <c r="D120" s="212"/>
      <c r="E120" s="35" t="s">
        <v>268</v>
      </c>
      <c r="F120" s="38"/>
      <c r="G120" s="38" t="str">
        <f>traduzioni!A147</f>
        <v>Largeur de référence</v>
      </c>
      <c r="H120" s="82">
        <v>1000</v>
      </c>
      <c r="I120" s="35"/>
      <c r="J120" s="35" t="s">
        <v>35</v>
      </c>
      <c r="K120" s="79"/>
    </row>
    <row r="121" spans="4:20" ht="15" customHeight="1">
      <c r="D121" s="212"/>
      <c r="E121" s="35" t="s">
        <v>263</v>
      </c>
      <c r="F121" s="38"/>
      <c r="G121" s="38" t="str">
        <f>traduzioni!A148</f>
        <v xml:space="preserve">Rigidité à la compression </v>
      </c>
      <c r="H121" s="82">
        <f>CLT!N15*H120/4</f>
        <v>2750000</v>
      </c>
      <c r="I121" s="35"/>
      <c r="J121" s="35" t="s">
        <v>278</v>
      </c>
      <c r="K121" s="79"/>
      <c r="L121" t="s">
        <v>347</v>
      </c>
    </row>
    <row r="122" spans="4:20" ht="15" customHeight="1">
      <c r="D122" s="212"/>
      <c r="E122" s="35" t="s">
        <v>270</v>
      </c>
      <c r="F122" s="38"/>
      <c r="G122" s="38" t="str">
        <f>traduzioni!A149</f>
        <v>Rigidité axiale</v>
      </c>
      <c r="H122" s="82">
        <f>(25*SCREWS!E23*MIN(20*SCREWS!E23,SCREWS!I30))*(H32+H33)/2</f>
        <v>302500</v>
      </c>
      <c r="I122" s="35"/>
      <c r="J122" s="35" t="s">
        <v>276</v>
      </c>
      <c r="K122" s="79"/>
      <c r="L122" t="s">
        <v>348</v>
      </c>
    </row>
    <row r="123" spans="4:20" ht="15" customHeight="1">
      <c r="D123" s="212"/>
      <c r="E123" s="35" t="s">
        <v>281</v>
      </c>
      <c r="F123" s="38"/>
      <c r="G123" s="38" t="str">
        <f>traduzioni!A150</f>
        <v>Vis en zone tendue</v>
      </c>
      <c r="H123" s="82">
        <f>IF(H10="POS",H33,IF(H10="NEG",H32))</f>
        <v>5</v>
      </c>
      <c r="I123" s="35"/>
      <c r="J123" s="35" t="s">
        <v>275</v>
      </c>
      <c r="K123" s="79"/>
    </row>
    <row r="124" spans="4:20" ht="15" customHeight="1">
      <c r="D124" s="212"/>
      <c r="E124" s="35"/>
      <c r="F124" s="38"/>
      <c r="G124" s="38"/>
      <c r="H124" s="82"/>
      <c r="I124" s="35"/>
      <c r="J124" s="35"/>
      <c r="K124" s="79"/>
    </row>
    <row r="125" spans="4:20" ht="15" customHeight="1">
      <c r="D125" s="212"/>
      <c r="E125" s="35" t="s">
        <v>280</v>
      </c>
      <c r="F125" s="38"/>
      <c r="G125" s="38" t="str">
        <f>traduzioni!A151</f>
        <v>Déformation de la zone comprimée</v>
      </c>
      <c r="H125" s="90">
        <f>H119/H121</f>
        <v>1.8648018648018648E-3</v>
      </c>
      <c r="I125" s="35"/>
      <c r="J125" s="35" t="s">
        <v>35</v>
      </c>
      <c r="K125" s="79"/>
      <c r="L125" t="s">
        <v>351</v>
      </c>
    </row>
    <row r="126" spans="4:20" ht="15" customHeight="1">
      <c r="D126" s="212"/>
      <c r="E126" s="35" t="s">
        <v>279</v>
      </c>
      <c r="F126" s="38"/>
      <c r="G126" s="38" t="str">
        <f>traduzioni!A152</f>
        <v>Déformation des fixations</v>
      </c>
      <c r="H126" s="90">
        <f>(H119)/((H122*2/(H32+H33))*H123)</f>
        <v>1.6952744225471498E-2</v>
      </c>
      <c r="I126" s="35"/>
      <c r="J126" s="35" t="s">
        <v>35</v>
      </c>
      <c r="K126" s="79"/>
      <c r="L126" t="s">
        <v>352</v>
      </c>
    </row>
    <row r="127" spans="4:20" ht="15" customHeight="1">
      <c r="D127" s="212"/>
      <c r="E127" s="35"/>
      <c r="F127" s="38"/>
      <c r="G127" s="38"/>
      <c r="H127" s="82"/>
      <c r="I127" s="35"/>
      <c r="J127" s="35"/>
      <c r="K127" s="233" t="str">
        <f>traduzioni!A222</f>
        <v>(*) doubler la rigidité dans le cas d'un assemblage non symétrique avec un seul plan de connexion</v>
      </c>
    </row>
    <row r="128" spans="4:20" ht="15" customHeight="1">
      <c r="D128" s="212"/>
      <c r="E128" s="104" t="s">
        <v>283</v>
      </c>
      <c r="F128" s="38"/>
      <c r="G128" s="38" t="str">
        <f>traduzioni!A153</f>
        <v>Angle de rotation unitaire</v>
      </c>
      <c r="H128" s="187">
        <f>ATAN((ABS(H126)+ABS(H125))/(H117))</f>
        <v>9.6500236060829983E-5</v>
      </c>
      <c r="I128" s="35"/>
      <c r="J128" s="35" t="s">
        <v>1425</v>
      </c>
      <c r="K128" s="233"/>
      <c r="L128" t="s">
        <v>350</v>
      </c>
    </row>
    <row r="129" spans="4:12" ht="15" customHeight="1">
      <c r="D129" s="213"/>
      <c r="E129" s="73" t="s">
        <v>285</v>
      </c>
      <c r="F129" s="74"/>
      <c r="G129" s="74" t="str">
        <f>traduzioni!A154</f>
        <v>Rigidité en rotation (*)</v>
      </c>
      <c r="H129" s="91">
        <f>H118/(2*H128*1000)</f>
        <v>5181.3344755428316</v>
      </c>
      <c r="I129" s="73"/>
      <c r="J129" s="73" t="s">
        <v>1424</v>
      </c>
      <c r="K129" s="234"/>
      <c r="L129" t="s">
        <v>349</v>
      </c>
    </row>
    <row r="130" spans="4:12" ht="15" customHeight="1">
      <c r="G130" s="38"/>
      <c r="H130" s="188"/>
    </row>
    <row r="131" spans="4:12" ht="15" customHeight="1">
      <c r="G131" s="38"/>
    </row>
    <row r="132" spans="4:12" ht="15" customHeight="1"/>
    <row r="133" spans="4:12" ht="15" customHeight="1"/>
    <row r="134" spans="4:12" ht="15" customHeight="1"/>
    <row r="135" spans="4:12" ht="15" customHeight="1"/>
    <row r="136" spans="4:12" ht="15" customHeight="1"/>
    <row r="137" spans="4:12" ht="15" customHeight="1"/>
    <row r="138" spans="4:12" ht="15" customHeight="1"/>
    <row r="139" spans="4:12" ht="15" customHeight="1"/>
  </sheetData>
  <sheetProtection algorithmName="SHA-512" hashValue="ATcWmjkt2MVBkoqRpqHbCNU3D74LQvWC+wlf3vbkT3XCYV2BfA1nkrtRI7DMiyVad8A7ud3fBYP3Ywo8jJHSww==" saltValue="OQIbZ0U2AW7NWJoeF3xCEQ==" spinCount="100000" sheet="1" objects="1" scenarios="1" selectLockedCells="1"/>
  <mergeCells count="16">
    <mergeCell ref="D110:D129"/>
    <mergeCell ref="AB69:AE69"/>
    <mergeCell ref="D2:D14"/>
    <mergeCell ref="H18:K18"/>
    <mergeCell ref="D99:D108"/>
    <mergeCell ref="D93:D97"/>
    <mergeCell ref="D82:D91"/>
    <mergeCell ref="D73:D80"/>
    <mergeCell ref="D52:D59"/>
    <mergeCell ref="D46:D50"/>
    <mergeCell ref="D36:D44"/>
    <mergeCell ref="D16:D20"/>
    <mergeCell ref="D22:D33"/>
    <mergeCell ref="E63:J67"/>
    <mergeCell ref="K82:K84"/>
    <mergeCell ref="K127:K129"/>
  </mergeCells>
  <phoneticPr fontId="3" type="noConversion"/>
  <conditionalFormatting sqref="H76:H79">
    <cfRule type="expression" dxfId="13" priority="12">
      <formula>IF($H$20="C",TRUE)</formula>
    </cfRule>
  </conditionalFormatting>
  <conditionalFormatting sqref="K1:K62 K72:K82 K85:K126 K130:K1048576">
    <cfRule type="containsText" dxfId="12" priority="1" operator="containsText" text="NO">
      <formula>NOT(ISERROR(SEARCH("NO",K1)))</formula>
    </cfRule>
    <cfRule type="containsText" dxfId="11" priority="2" operator="containsText" text="OK">
      <formula>NOT(ISERROR(SEARCH("OK",K1)))</formula>
    </cfRule>
  </conditionalFormatting>
  <conditionalFormatting sqref="S35:S37">
    <cfRule type="cellIs" dxfId="10" priority="11" operator="lessThanOrEqual">
      <formula>MIN($S$35,$S$36,$S$37)</formula>
    </cfRule>
  </conditionalFormatting>
  <conditionalFormatting sqref="S39:S40">
    <cfRule type="cellIs" dxfId="9" priority="7" operator="lessThanOrEqual">
      <formula>MIN($S$39,$S$40)</formula>
    </cfRule>
  </conditionalFormatting>
  <conditionalFormatting sqref="T35:T37">
    <cfRule type="cellIs" dxfId="8" priority="10" operator="lessThanOrEqual">
      <formula>MIN($T$35,$T$36,$T$37)</formula>
    </cfRule>
  </conditionalFormatting>
  <conditionalFormatting sqref="T39:T40">
    <cfRule type="cellIs" dxfId="7" priority="6" operator="lessThanOrEqual">
      <formula>MIN($T$39,$T$40)</formula>
    </cfRule>
  </conditionalFormatting>
  <conditionalFormatting sqref="U35:U37">
    <cfRule type="cellIs" dxfId="6" priority="8" operator="lessThanOrEqual">
      <formula>MIN($U$35,$U$36,$U$37)</formula>
    </cfRule>
  </conditionalFormatting>
  <conditionalFormatting sqref="U39:U40">
    <cfRule type="cellIs" dxfId="5" priority="5" operator="lessThanOrEqual">
      <formula>MIN($U$39,$U$40)</formula>
    </cfRule>
  </conditionalFormatting>
  <conditionalFormatting sqref="X41:X42">
    <cfRule type="containsText" dxfId="4" priority="3" operator="containsText" text="NO">
      <formula>NOT(ISERROR(SEARCH("NO",X41)))</formula>
    </cfRule>
    <cfRule type="containsText" dxfId="3" priority="4" operator="containsText" text="OK Annex E8">
      <formula>NOT(ISERROR(SEARCH("OK Annex E8",X41)))</formula>
    </cfRule>
  </conditionalFormatting>
  <dataValidations disablePrompts="1" count="6">
    <dataValidation type="list" allowBlank="1" showInputMessage="1" showErrorMessage="1" sqref="I37" xr:uid="{E3A39C38-5634-41F7-B0E1-EBD5FAE5C2AD}">
      <formula1>"5,6,8,10"</formula1>
    </dataValidation>
    <dataValidation type="list" allowBlank="1" showInputMessage="1" showErrorMessage="1" sqref="I38" xr:uid="{57364C22-C8BC-43A6-B42F-004E92216A21}">
      <formula1>"6,8,10,12,14,16,18,20"</formula1>
    </dataValidation>
    <dataValidation type="list" allowBlank="1" showInputMessage="1" showErrorMessage="1" sqref="I40" xr:uid="{D4564C3C-350C-4CFC-9ED4-BD6130AF3137}">
      <formula1>"X0,XC1,XC2,XC3,XC4"</formula1>
    </dataValidation>
    <dataValidation type="list" allowBlank="1" showInputMessage="1" showErrorMessage="1" sqref="I22" xr:uid="{349C4CC5-97AB-4C4D-8AC1-EC4F442913FD}">
      <formula1>SCREWS</formula1>
    </dataValidation>
    <dataValidation type="list" allowBlank="1" showInputMessage="1" showErrorMessage="1" sqref="I23" xr:uid="{B3E661D1-7877-4CF1-B6F4-D598FF025C34}">
      <formula1>INDIRECT($H$22)</formula1>
    </dataValidation>
    <dataValidation type="list" allowBlank="1" showInputMessage="1" showErrorMessage="1" sqref="I2" xr:uid="{8DBC8187-68CC-451B-9BCA-F6AA630FA74B}">
      <formula1>"Perm,Lunga,Media,Breve,Istantanea"</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A83B532-9A4C-4398-8241-FA975B2F16EF}">
          <x14:formula1>
            <xm:f>CONCRETE!$C$26:$C$30</xm:f>
          </x14:formula1>
          <xm:sqref>I36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2C72-BB0A-424A-94D0-AD3EC1107984}">
  <sheetPr codeName="Foglio3"/>
  <dimension ref="A1:P40"/>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31.625" customWidth="1"/>
    <col min="4" max="15" width="9" customWidth="1"/>
    <col min="16" max="16" width="26.375" bestFit="1" customWidth="1"/>
    <col min="17" max="16384" width="9" hidden="1"/>
  </cols>
  <sheetData>
    <row r="1" spans="2:6" ht="15" customHeight="1"/>
    <row r="2" spans="2:6" ht="15" customHeight="1"/>
    <row r="3" spans="2:6" ht="15" customHeight="1"/>
    <row r="4" spans="2:6" ht="15" customHeight="1">
      <c r="B4" s="254"/>
      <c r="C4" s="256" t="str">
        <f>traduzioni!A155</f>
        <v>cases éditables</v>
      </c>
      <c r="D4" s="29"/>
    </row>
    <row r="5" spans="2:6" ht="15" customHeight="1">
      <c r="B5" s="255"/>
      <c r="C5" s="256"/>
      <c r="D5" s="29"/>
    </row>
    <row r="6" spans="2:6" ht="15" customHeight="1">
      <c r="C6" s="29"/>
    </row>
    <row r="7" spans="2:6" ht="15" customHeight="1"/>
    <row r="8" spans="2:6" ht="15" customHeight="1">
      <c r="B8" s="117"/>
      <c r="C8" s="118"/>
      <c r="D8" s="118"/>
      <c r="E8" s="118"/>
      <c r="F8" s="119"/>
    </row>
    <row r="9" spans="2:6" ht="15" customHeight="1">
      <c r="B9" s="120"/>
      <c r="C9" s="253" t="str">
        <f>traduzioni!A156</f>
        <v>Distance de la ligne de vis basses depuis le bord CLT</v>
      </c>
      <c r="D9" s="253"/>
      <c r="E9" s="253"/>
      <c r="F9" s="121"/>
    </row>
    <row r="10" spans="2:6" ht="15" customHeight="1">
      <c r="B10" s="120"/>
      <c r="C10" s="253"/>
      <c r="D10" s="253"/>
      <c r="E10" s="253"/>
      <c r="F10" s="121"/>
    </row>
    <row r="11" spans="2:6" ht="15" customHeight="1">
      <c r="B11" s="120"/>
      <c r="F11" s="121"/>
    </row>
    <row r="12" spans="2:6" ht="15" customHeight="1">
      <c r="B12" s="120"/>
      <c r="C12" s="68" t="str">
        <f>CONCATENATE(traduzioni!A157," t")</f>
        <v>Lame t</v>
      </c>
      <c r="D12">
        <f>IF(GEOMETRY!H42="N",0,GEOMETRY!I42)</f>
        <v>0</v>
      </c>
      <c r="E12" t="s">
        <v>35</v>
      </c>
      <c r="F12" s="121"/>
    </row>
    <row r="13" spans="2:6" ht="15" customHeight="1">
      <c r="B13" s="120"/>
      <c r="C13" s="68" t="str">
        <f>CONCATENATE(traduzioni!A158," c")</f>
        <v>Position barre longitudinale c</v>
      </c>
      <c r="D13">
        <f>CONCRETE!H20</f>
        <v>24</v>
      </c>
      <c r="E13" t="s">
        <v>35</v>
      </c>
      <c r="F13" s="121"/>
    </row>
    <row r="14" spans="2:6" ht="15" customHeight="1">
      <c r="B14" s="120"/>
      <c r="C14" s="68" t="str">
        <f>traduzioni!A159</f>
        <v>Barre longitudinale (1/2 dia.)</v>
      </c>
      <c r="D14">
        <f>0.5*'CALCOLI STS (slab to slab)'!H38</f>
        <v>4</v>
      </c>
      <c r="E14" t="s">
        <v>35</v>
      </c>
      <c r="F14" s="121"/>
    </row>
    <row r="15" spans="2:6" ht="15" customHeight="1">
      <c r="B15" s="120"/>
      <c r="C15" s="68" t="str">
        <f>traduzioni!A160</f>
        <v>Tolérance sur courbure des étriers</v>
      </c>
      <c r="D15" s="182">
        <v>2</v>
      </c>
      <c r="E15" t="s">
        <v>35</v>
      </c>
      <c r="F15" s="121"/>
    </row>
    <row r="16" spans="2:6" ht="15" customHeight="1">
      <c r="B16" s="120"/>
      <c r="C16" s="68" t="str">
        <f>traduzioni!A161</f>
        <v>Vis (1/2 dia.)</v>
      </c>
      <c r="D16">
        <f>0.5*'CALCOLI STS (slab to slab)'!H24</f>
        <v>5.5</v>
      </c>
      <c r="E16" t="s">
        <v>35</v>
      </c>
      <c r="F16" s="121"/>
    </row>
    <row r="17" spans="2:6" ht="15" customHeight="1">
      <c r="B17" s="120"/>
      <c r="F17" s="121"/>
    </row>
    <row r="18" spans="2:6" ht="15" customHeight="1">
      <c r="B18" s="120"/>
      <c r="D18" s="29">
        <f>SUM(D12:D16)</f>
        <v>35.5</v>
      </c>
      <c r="E18" s="29" t="s">
        <v>35</v>
      </c>
      <c r="F18" s="121"/>
    </row>
    <row r="19" spans="2:6" ht="15" customHeight="1">
      <c r="B19" s="122"/>
      <c r="C19" s="115"/>
      <c r="D19" s="115"/>
      <c r="E19" s="115"/>
      <c r="F19" s="123"/>
    </row>
    <row r="20" spans="2:6" ht="15" customHeight="1"/>
    <row r="21" spans="2:6" ht="15" customHeight="1">
      <c r="C21" s="150"/>
    </row>
    <row r="22" spans="2:6" ht="15" customHeight="1"/>
    <row r="23" spans="2:6" ht="15" customHeight="1"/>
    <row r="24" spans="2:6" ht="15" customHeight="1"/>
    <row r="25" spans="2:6" ht="15" customHeight="1"/>
    <row r="26" spans="2:6" ht="15" customHeight="1"/>
    <row r="27" spans="2:6" ht="15" customHeight="1"/>
    <row r="28" spans="2:6" ht="15" customHeight="1"/>
    <row r="29" spans="2:6" ht="15" customHeight="1"/>
    <row r="30" spans="2:6" ht="15" customHeight="1"/>
    <row r="31" spans="2:6" ht="15" customHeight="1"/>
    <row r="32" spans="2:6" ht="15" customHeight="1"/>
    <row r="33" customFormat="1" ht="15" customHeight="1"/>
    <row r="34" customFormat="1" ht="15" customHeight="1"/>
    <row r="35" customFormat="1" ht="15" hidden="1" customHeight="1"/>
    <row r="36" customFormat="1" ht="15" hidden="1" customHeight="1"/>
    <row r="37" customFormat="1" ht="15" hidden="1" customHeight="1"/>
    <row r="38" customFormat="1" ht="15" hidden="1" customHeight="1"/>
    <row r="39" customFormat="1" ht="15" hidden="1" customHeight="1"/>
    <row r="40" customFormat="1" ht="15" hidden="1" customHeight="1"/>
  </sheetData>
  <sheetProtection algorithmName="SHA-512" hashValue="O4ATGAK0T5Uy0mua/HqX7oQjK8UOBnmveILUJELnKy0yc8VEKWg0OZNbE1Cje+/3XVSRilUjuUT3I0bt+uUcoQ==" saltValue="6nGAzDayjAQPcrsU3HubUg==" spinCount="100000" sheet="1" objects="1" scenarios="1" selectLockedCells="1"/>
  <mergeCells count="3">
    <mergeCell ref="C9:E10"/>
    <mergeCell ref="B4:B5"/>
    <mergeCell ref="C4:C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7E22-4F3B-4373-B184-D9AEC0238F95}">
  <sheetPr codeName="Foglio4">
    <tabColor theme="0" tint="-0.14999847407452621"/>
  </sheetPr>
  <dimension ref="A1:X44"/>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12.625" customWidth="1"/>
    <col min="4" max="24" width="9" customWidth="1"/>
    <col min="25" max="16384" width="9" hidden="1"/>
  </cols>
  <sheetData>
    <row r="1" spans="2:23" ht="15" customHeight="1"/>
    <row r="2" spans="2:23" ht="15" customHeight="1"/>
    <row r="3" spans="2:23" ht="15" customHeight="1"/>
    <row r="4" spans="2:23" ht="15" customHeight="1">
      <c r="B4" s="254"/>
      <c r="C4" s="256" t="str">
        <f>traduzioni!A162</f>
        <v>cases éditables</v>
      </c>
      <c r="D4" s="256"/>
    </row>
    <row r="5" spans="2:23" ht="15" customHeight="1">
      <c r="B5" s="255"/>
      <c r="C5" s="256"/>
      <c r="D5" s="256"/>
    </row>
    <row r="6" spans="2:23" ht="15" customHeight="1">
      <c r="C6" s="29"/>
    </row>
    <row r="7" spans="2:23" ht="15" customHeight="1"/>
    <row r="8" spans="2:23" ht="15" customHeight="1">
      <c r="B8" s="117"/>
      <c r="C8" s="118"/>
      <c r="D8" s="118"/>
      <c r="E8" s="118"/>
      <c r="F8" s="118"/>
      <c r="G8" s="118"/>
      <c r="H8" s="118"/>
      <c r="I8" s="118"/>
      <c r="J8" s="118"/>
      <c r="K8" s="118"/>
      <c r="L8" s="118"/>
      <c r="M8" s="118"/>
      <c r="N8" s="119"/>
      <c r="P8" s="117"/>
      <c r="Q8" s="118"/>
      <c r="R8" s="118"/>
      <c r="S8" s="118"/>
      <c r="T8" s="118"/>
      <c r="U8" s="118"/>
      <c r="V8" s="118"/>
      <c r="W8" s="119"/>
    </row>
    <row r="9" spans="2:23" ht="15" customHeight="1">
      <c r="B9" s="120"/>
      <c r="C9" t="str">
        <f>traduzioni!A164</f>
        <v>Classe d’exposition environnementale</v>
      </c>
      <c r="G9" s="182" t="s">
        <v>44</v>
      </c>
      <c r="N9" s="121"/>
      <c r="P9" s="120"/>
      <c r="Q9" s="257" t="str">
        <f>CONCATENATE(traduzioni!A223," [mm]")</f>
        <v>Enrobage minimum requis [mm]</v>
      </c>
      <c r="R9" s="257"/>
      <c r="S9" s="257"/>
      <c r="T9" s="257"/>
      <c r="U9" s="257"/>
      <c r="V9" s="257"/>
      <c r="W9" s="121"/>
    </row>
    <row r="10" spans="2:23" ht="15" customHeight="1">
      <c r="B10" s="120"/>
      <c r="C10" t="str">
        <f>traduzioni!A165</f>
        <v>Classe structurelle</v>
      </c>
      <c r="G10" s="182" t="s">
        <v>39</v>
      </c>
      <c r="N10" s="121"/>
      <c r="P10" s="120"/>
      <c r="Q10" s="106" t="s">
        <v>36</v>
      </c>
      <c r="R10" s="106" t="s">
        <v>43</v>
      </c>
      <c r="S10" s="106" t="s">
        <v>44</v>
      </c>
      <c r="T10" s="106" t="s">
        <v>45</v>
      </c>
      <c r="U10" s="106" t="s">
        <v>46</v>
      </c>
      <c r="V10" s="106" t="s">
        <v>47</v>
      </c>
      <c r="W10" s="121"/>
    </row>
    <row r="11" spans="2:23" ht="15" customHeight="1">
      <c r="B11" s="120"/>
      <c r="C11" s="97"/>
      <c r="D11" s="97"/>
      <c r="E11" s="97"/>
      <c r="F11" s="97"/>
      <c r="G11" s="97"/>
      <c r="H11" s="97"/>
      <c r="I11" s="97"/>
      <c r="J11" s="97"/>
      <c r="K11" s="97"/>
      <c r="L11" s="97"/>
      <c r="M11" s="97"/>
      <c r="N11" s="121"/>
      <c r="P11" s="120"/>
      <c r="Q11" s="106" t="s">
        <v>37</v>
      </c>
      <c r="R11">
        <v>10</v>
      </c>
      <c r="S11">
        <v>10</v>
      </c>
      <c r="T11">
        <v>10</v>
      </c>
      <c r="U11">
        <v>10</v>
      </c>
      <c r="V11">
        <v>15</v>
      </c>
      <c r="W11" s="121"/>
    </row>
    <row r="12" spans="2:23" ht="15" customHeight="1">
      <c r="B12" s="120"/>
      <c r="C12" s="124"/>
      <c r="D12" s="124" t="s">
        <v>21</v>
      </c>
      <c r="E12" s="124"/>
      <c r="F12" s="124" t="s">
        <v>31</v>
      </c>
      <c r="G12" s="124" t="s">
        <v>32</v>
      </c>
      <c r="H12" s="124"/>
      <c r="I12" s="124"/>
      <c r="J12" s="124" t="s">
        <v>34</v>
      </c>
      <c r="K12" s="125" t="s">
        <v>382</v>
      </c>
      <c r="L12" s="124"/>
      <c r="M12" s="124" t="s">
        <v>33</v>
      </c>
      <c r="N12" s="121"/>
      <c r="P12" s="120"/>
      <c r="Q12" s="106" t="s">
        <v>38</v>
      </c>
      <c r="R12">
        <v>10</v>
      </c>
      <c r="S12">
        <v>10</v>
      </c>
      <c r="T12">
        <v>15</v>
      </c>
      <c r="U12">
        <v>15</v>
      </c>
      <c r="V12">
        <v>20</v>
      </c>
      <c r="W12" s="121"/>
    </row>
    <row r="13" spans="2:23" ht="15" customHeight="1">
      <c r="B13" s="120"/>
      <c r="C13" s="68"/>
      <c r="D13" s="106" t="s">
        <v>35</v>
      </c>
      <c r="E13" s="106"/>
      <c r="F13" s="106" t="s">
        <v>35</v>
      </c>
      <c r="G13" s="106" t="s">
        <v>35</v>
      </c>
      <c r="H13" s="106" t="s">
        <v>35</v>
      </c>
      <c r="I13" s="106"/>
      <c r="J13" s="106" t="s">
        <v>35</v>
      </c>
      <c r="K13" s="106" t="s">
        <v>35</v>
      </c>
      <c r="L13" s="106"/>
      <c r="M13" s="106" t="s">
        <v>35</v>
      </c>
      <c r="N13" s="121"/>
      <c r="P13" s="120"/>
      <c r="Q13" s="106" t="s">
        <v>39</v>
      </c>
      <c r="R13">
        <v>10</v>
      </c>
      <c r="S13">
        <v>10</v>
      </c>
      <c r="T13">
        <v>20</v>
      </c>
      <c r="U13">
        <v>20</v>
      </c>
      <c r="V13">
        <v>25</v>
      </c>
      <c r="W13" s="121"/>
    </row>
    <row r="14" spans="2:23" ht="15" customHeight="1">
      <c r="B14" s="120"/>
      <c r="C14" s="106" t="s">
        <v>28</v>
      </c>
      <c r="D14">
        <f>'CALCOLI STS (slab to slab)'!H37</f>
        <v>6</v>
      </c>
      <c r="F14">
        <f>D14+IF('CALCOLI STS (slab to slab)'!H39&gt;32,5,0)</f>
        <v>6</v>
      </c>
      <c r="G14">
        <f>HLOOKUP(G9,R10:V16,MID(G10,2,1)+1,FALSE)</f>
        <v>10</v>
      </c>
      <c r="H14">
        <v>10</v>
      </c>
      <c r="J14">
        <f>MAX(F14,G14,H14)</f>
        <v>10</v>
      </c>
      <c r="K14" s="182">
        <v>10</v>
      </c>
      <c r="M14">
        <f>J14+K14</f>
        <v>20</v>
      </c>
      <c r="N14" s="121"/>
      <c r="P14" s="120"/>
      <c r="Q14" s="106" t="s">
        <v>40</v>
      </c>
      <c r="R14">
        <v>10</v>
      </c>
      <c r="S14">
        <v>15</v>
      </c>
      <c r="T14">
        <v>25</v>
      </c>
      <c r="U14">
        <v>25</v>
      </c>
      <c r="V14">
        <v>30</v>
      </c>
      <c r="W14" s="121"/>
    </row>
    <row r="15" spans="2:23" ht="15" customHeight="1">
      <c r="B15" s="120"/>
      <c r="C15" s="106" t="s">
        <v>29</v>
      </c>
      <c r="D15">
        <f>'CALCOLI STS (slab to slab)'!H38</f>
        <v>8</v>
      </c>
      <c r="F15">
        <f>D15+IF('CALCOLI STS (slab to slab)'!H39&gt;32,5,0)</f>
        <v>8</v>
      </c>
      <c r="G15">
        <f>HLOOKUP(G9,R10:V16,MID(G10,2,1)+1,FALSE)</f>
        <v>10</v>
      </c>
      <c r="H15">
        <v>10</v>
      </c>
      <c r="J15">
        <f>MAX(F15,G15,H15)</f>
        <v>10</v>
      </c>
      <c r="K15" s="182">
        <v>10</v>
      </c>
      <c r="M15">
        <f>J15+K15</f>
        <v>20</v>
      </c>
      <c r="N15" s="121"/>
      <c r="P15" s="120"/>
      <c r="Q15" s="106" t="s">
        <v>41</v>
      </c>
      <c r="R15">
        <v>15</v>
      </c>
      <c r="S15">
        <v>20</v>
      </c>
      <c r="T15">
        <v>30</v>
      </c>
      <c r="U15">
        <v>30</v>
      </c>
      <c r="V15">
        <v>35</v>
      </c>
      <c r="W15" s="121"/>
    </row>
    <row r="16" spans="2:23" ht="15" customHeight="1">
      <c r="B16" s="120"/>
      <c r="N16" s="121"/>
      <c r="P16" s="120"/>
      <c r="Q16" s="106" t="s">
        <v>42</v>
      </c>
      <c r="R16">
        <v>20</v>
      </c>
      <c r="S16">
        <v>25</v>
      </c>
      <c r="T16">
        <v>35</v>
      </c>
      <c r="U16">
        <v>35</v>
      </c>
      <c r="V16">
        <v>40</v>
      </c>
      <c r="W16" s="121"/>
    </row>
    <row r="17" spans="2:23" ht="15" customHeight="1">
      <c r="B17" s="120"/>
      <c r="C17" s="68" t="s">
        <v>162</v>
      </c>
      <c r="D17" s="68" t="str">
        <f>traduzioni!A166</f>
        <v>Enrobage minimum pour les étriers</v>
      </c>
      <c r="E17" s="68"/>
      <c r="F17" s="68"/>
      <c r="G17" s="68"/>
      <c r="H17">
        <f>M14</f>
        <v>20</v>
      </c>
      <c r="I17" t="s">
        <v>35</v>
      </c>
      <c r="N17" s="121"/>
      <c r="P17" s="122"/>
      <c r="Q17" s="115"/>
      <c r="R17" s="115"/>
      <c r="S17" s="115"/>
      <c r="T17" s="115"/>
      <c r="U17" s="115"/>
      <c r="V17" s="115"/>
      <c r="W17" s="123"/>
    </row>
    <row r="18" spans="2:23" ht="15" customHeight="1">
      <c r="B18" s="120"/>
      <c r="C18" s="68" t="s">
        <v>163</v>
      </c>
      <c r="D18" s="68" t="str">
        <f>traduzioni!A167</f>
        <v>Enrobage minimum pour les barres longitudinales</v>
      </c>
      <c r="E18" s="68"/>
      <c r="F18" s="68"/>
      <c r="G18" s="68"/>
      <c r="H18">
        <f>M15</f>
        <v>20</v>
      </c>
      <c r="I18" t="s">
        <v>35</v>
      </c>
      <c r="N18" s="121"/>
    </row>
    <row r="19" spans="2:23" ht="15" customHeight="1">
      <c r="B19" s="120"/>
      <c r="C19" s="68"/>
      <c r="D19" s="68"/>
      <c r="E19" s="68"/>
      <c r="F19" s="68"/>
      <c r="G19" s="68"/>
      <c r="N19" s="121"/>
    </row>
    <row r="20" spans="2:23" ht="15" customHeight="1">
      <c r="B20" s="120"/>
      <c r="C20" s="68" t="s">
        <v>128</v>
      </c>
      <c r="D20" s="68" t="str">
        <f>traduzioni!A167</f>
        <v>Enrobage minimum pour les barres longitudinales</v>
      </c>
      <c r="E20" s="68"/>
      <c r="F20" s="68"/>
      <c r="G20" s="68"/>
      <c r="H20">
        <f>MAX((H17+(D15/2)),(H18+(D15/2)))</f>
        <v>24</v>
      </c>
      <c r="I20" t="s">
        <v>35</v>
      </c>
      <c r="N20" s="121"/>
    </row>
    <row r="21" spans="2:23" ht="15" customHeight="1">
      <c r="B21" s="122"/>
      <c r="C21" s="115"/>
      <c r="D21" s="115"/>
      <c r="E21" s="115"/>
      <c r="F21" s="115"/>
      <c r="G21" s="115"/>
      <c r="H21" s="115"/>
      <c r="I21" s="115"/>
      <c r="J21" s="115"/>
      <c r="K21" s="115"/>
      <c r="L21" s="115"/>
      <c r="M21" s="115"/>
      <c r="N21" s="123"/>
    </row>
    <row r="22" spans="2:23" ht="15" customHeight="1"/>
    <row r="23" spans="2:23" ht="15" customHeight="1">
      <c r="B23" s="107"/>
      <c r="C23" s="108"/>
      <c r="D23" s="108"/>
      <c r="E23" s="108"/>
      <c r="F23" s="108"/>
      <c r="G23" s="108"/>
      <c r="H23" s="108"/>
      <c r="I23" s="108"/>
      <c r="J23" s="109"/>
    </row>
    <row r="24" spans="2:23" ht="15" customHeight="1">
      <c r="B24" s="110"/>
      <c r="C24" s="106"/>
      <c r="D24" s="106" t="s">
        <v>68</v>
      </c>
      <c r="E24" s="106" t="s">
        <v>69</v>
      </c>
      <c r="G24" t="str">
        <f>'CALCOLI STS (slab to slab)'!H36</f>
        <v>C25/30</v>
      </c>
      <c r="J24" s="111"/>
    </row>
    <row r="25" spans="2:23" ht="15" customHeight="1">
      <c r="B25" s="110"/>
      <c r="C25" s="106"/>
      <c r="D25" s="106" t="s">
        <v>100</v>
      </c>
      <c r="E25" s="106" t="s">
        <v>100</v>
      </c>
      <c r="J25" s="111"/>
    </row>
    <row r="26" spans="2:23" ht="15" customHeight="1">
      <c r="B26" s="110"/>
      <c r="C26" s="106" t="s">
        <v>65</v>
      </c>
      <c r="D26">
        <v>25</v>
      </c>
      <c r="E26">
        <v>20</v>
      </c>
      <c r="G26" t="s">
        <v>77</v>
      </c>
      <c r="H26">
        <f>IF('CALCOLI STS (slab to slab)'!L2="NTC 2018 (ITA)",1.5,1.5)</f>
        <v>1.5</v>
      </c>
      <c r="I26" t="s">
        <v>376</v>
      </c>
      <c r="J26" s="111"/>
    </row>
    <row r="27" spans="2:23" ht="15" customHeight="1">
      <c r="B27" s="110"/>
      <c r="C27" s="106" t="s">
        <v>64</v>
      </c>
      <c r="D27">
        <v>30</v>
      </c>
      <c r="E27">
        <v>25</v>
      </c>
      <c r="G27" s="1" t="s">
        <v>184</v>
      </c>
      <c r="H27">
        <v>0.85</v>
      </c>
      <c r="I27" t="s">
        <v>376</v>
      </c>
      <c r="J27" s="111"/>
    </row>
    <row r="28" spans="2:23" ht="15" customHeight="1">
      <c r="B28" s="110"/>
      <c r="C28" s="106" t="s">
        <v>66</v>
      </c>
      <c r="D28">
        <v>35</v>
      </c>
      <c r="E28">
        <v>28</v>
      </c>
      <c r="G28" s="1" t="s">
        <v>330</v>
      </c>
      <c r="H28">
        <v>1</v>
      </c>
      <c r="I28" t="s">
        <v>376</v>
      </c>
      <c r="J28" s="111"/>
    </row>
    <row r="29" spans="2:23" ht="15" customHeight="1">
      <c r="B29" s="110"/>
      <c r="C29" s="106" t="s">
        <v>356</v>
      </c>
      <c r="D29">
        <v>37</v>
      </c>
      <c r="E29">
        <v>28</v>
      </c>
      <c r="J29" s="111"/>
    </row>
    <row r="30" spans="2:23" ht="15" customHeight="1">
      <c r="B30" s="110"/>
      <c r="C30" s="106" t="s">
        <v>67</v>
      </c>
      <c r="D30">
        <v>40</v>
      </c>
      <c r="E30">
        <v>32</v>
      </c>
      <c r="G30" t="s">
        <v>105</v>
      </c>
      <c r="H30" s="4">
        <f>VLOOKUP(G24,C26:E35,3,FALSE)*H27/H26</f>
        <v>14.166666666666666</v>
      </c>
      <c r="I30" t="s">
        <v>100</v>
      </c>
      <c r="J30" s="111"/>
    </row>
    <row r="31" spans="2:23" ht="15" customHeight="1">
      <c r="B31" s="110"/>
      <c r="C31" s="106" t="s">
        <v>353</v>
      </c>
      <c r="D31">
        <v>45</v>
      </c>
      <c r="E31">
        <v>35</v>
      </c>
      <c r="J31" s="111"/>
    </row>
    <row r="32" spans="2:23" ht="15" customHeight="1">
      <c r="B32" s="110"/>
      <c r="C32" s="106" t="s">
        <v>354</v>
      </c>
      <c r="D32">
        <v>50</v>
      </c>
      <c r="E32">
        <v>40</v>
      </c>
      <c r="J32" s="111"/>
    </row>
    <row r="33" spans="2:14" ht="15" customHeight="1">
      <c r="B33" s="110"/>
      <c r="C33" s="106" t="s">
        <v>355</v>
      </c>
      <c r="D33">
        <v>55</v>
      </c>
      <c r="E33">
        <v>45</v>
      </c>
      <c r="J33" s="111"/>
    </row>
    <row r="34" spans="2:14" ht="15" customHeight="1">
      <c r="B34" s="110"/>
      <c r="C34" s="106" t="s">
        <v>357</v>
      </c>
      <c r="D34">
        <v>60</v>
      </c>
      <c r="E34">
        <v>50</v>
      </c>
      <c r="J34" s="111"/>
    </row>
    <row r="35" spans="2:14" ht="15" customHeight="1">
      <c r="B35" s="110"/>
      <c r="C35" s="182" t="s">
        <v>393</v>
      </c>
      <c r="D35" s="182"/>
      <c r="E35" s="182"/>
      <c r="J35" s="111"/>
    </row>
    <row r="36" spans="2:14" ht="15" customHeight="1">
      <c r="B36" s="112"/>
      <c r="C36" s="113"/>
      <c r="D36" s="113"/>
      <c r="E36" s="113"/>
      <c r="F36" s="113"/>
      <c r="G36" s="113"/>
      <c r="H36" s="113"/>
      <c r="I36" s="113"/>
      <c r="J36" s="114"/>
    </row>
    <row r="37" spans="2:14" ht="15" customHeight="1"/>
    <row r="38" spans="2:14" ht="15" customHeight="1">
      <c r="L38" s="35"/>
      <c r="M38" s="38"/>
      <c r="N38" s="38"/>
    </row>
    <row r="39" spans="2:14" ht="15" customHeight="1">
      <c r="L39" s="35"/>
      <c r="M39" s="38"/>
      <c r="N39" s="38"/>
    </row>
    <row r="40" spans="2:14" ht="15" customHeight="1">
      <c r="L40" s="35"/>
      <c r="M40" s="38"/>
      <c r="N40" s="38"/>
    </row>
    <row r="41" spans="2:14" ht="15" customHeight="1"/>
    <row r="42" spans="2:14" ht="15" customHeight="1"/>
    <row r="43" spans="2:14" ht="15" customHeight="1"/>
    <row r="44" spans="2:14" ht="15" customHeight="1"/>
  </sheetData>
  <sheetProtection algorithmName="SHA-512" hashValue="vupolnnkOkYDGEmbslIazDIQcD+cA8qbChyqKa/Aryo5dmOp4Phhc7p9BTsStTD4zW5Pw9fF9NwTIBcLJQ76CA==" saltValue="VNEOa5bg7W6V0KCyXn0HYw==" spinCount="100000" sheet="1" objects="1" scenarios="1" selectLockedCells="1"/>
  <mergeCells count="3">
    <mergeCell ref="Q9:V9"/>
    <mergeCell ref="B4:B5"/>
    <mergeCell ref="C4:D5"/>
  </mergeCells>
  <phoneticPr fontId="3" type="noConversion"/>
  <dataValidations count="2">
    <dataValidation type="list" allowBlank="1" showInputMessage="1" showErrorMessage="1" sqref="D11 G10" xr:uid="{BED607A7-2DE5-47B7-B4FC-19207E0D22DD}">
      <formula1>"S1,S2,S3,S4,S5,S6"</formula1>
    </dataValidation>
    <dataValidation type="list" allowBlank="1" showInputMessage="1" showErrorMessage="1" sqref="G9" xr:uid="{9BE7C228-462B-4AD3-852E-A5CFA4449177}">
      <formula1>"X0,XC1,XC2,XC3,XC4"</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8E20-A95D-4409-98D6-C49B99B6295D}">
  <sheetPr codeName="Foglio5">
    <tabColor theme="5" tint="0.59999389629810485"/>
  </sheetPr>
  <dimension ref="A1:X84"/>
  <sheetViews>
    <sheetView showGridLines="0" showRowColHeaders="0" topLeftCell="D1" zoomScaleNormal="100" workbookViewId="0">
      <selection activeCell="K8" sqref="K8"/>
    </sheetView>
  </sheetViews>
  <sheetFormatPr baseColWidth="10" defaultColWidth="0" defaultRowHeight="15" customHeight="1" zeroHeight="1"/>
  <cols>
    <col min="1" max="3" width="9" hidden="1" customWidth="1"/>
    <col min="4" max="5" width="9" customWidth="1"/>
    <col min="6" max="6" width="45" bestFit="1" customWidth="1"/>
    <col min="7" max="20" width="9" customWidth="1"/>
    <col min="21" max="22" width="9" hidden="1" customWidth="1"/>
    <col min="23" max="23" width="12" hidden="1" customWidth="1"/>
    <col min="24" max="16384" width="9" hidden="1"/>
  </cols>
  <sheetData>
    <row r="1" spans="5:24" ht="15" customHeight="1"/>
    <row r="2" spans="5:24" ht="15" customHeight="1"/>
    <row r="3" spans="5:24" ht="15" customHeight="1"/>
    <row r="4" spans="5:24" ht="15" customHeight="1">
      <c r="E4" s="254"/>
    </row>
    <row r="5" spans="5:24" ht="15" customHeight="1">
      <c r="E5" s="255"/>
      <c r="F5" s="29" t="str">
        <f>traduzioni!A169</f>
        <v>cases éditables</v>
      </c>
    </row>
    <row r="6" spans="5:24" ht="15" customHeight="1"/>
    <row r="7" spans="5:24" ht="15" customHeight="1"/>
    <row r="8" spans="5:24" ht="15" customHeight="1">
      <c r="E8" s="117"/>
      <c r="F8" s="118"/>
      <c r="G8" s="118"/>
      <c r="H8" s="118"/>
      <c r="I8" s="118"/>
      <c r="J8" s="118"/>
      <c r="K8" s="118"/>
      <c r="L8" s="118"/>
      <c r="M8" s="118"/>
      <c r="N8" s="118"/>
      <c r="O8" s="118"/>
      <c r="P8" s="119"/>
    </row>
    <row r="9" spans="5:24" ht="15" customHeight="1">
      <c r="E9" s="120"/>
      <c r="F9" s="106"/>
      <c r="G9" s="106" t="s">
        <v>74</v>
      </c>
      <c r="H9" s="106" t="s">
        <v>73</v>
      </c>
      <c r="I9" s="106" t="s">
        <v>89</v>
      </c>
      <c r="J9" s="106" t="s">
        <v>266</v>
      </c>
      <c r="K9" s="106" t="s">
        <v>265</v>
      </c>
      <c r="M9" t="str">
        <f>'CALCOLI STS (slab to slab)'!H16</f>
        <v>C24</v>
      </c>
      <c r="P9" s="121"/>
      <c r="W9" t="str">
        <f>traduzioni!A26</f>
        <v>Permanente</v>
      </c>
      <c r="X9">
        <v>0.6</v>
      </c>
    </row>
    <row r="10" spans="5:24" ht="15" customHeight="1">
      <c r="E10" s="120"/>
      <c r="F10" s="106"/>
      <c r="G10" s="106" t="s">
        <v>90</v>
      </c>
      <c r="H10" s="106" t="s">
        <v>90</v>
      </c>
      <c r="I10" s="106" t="s">
        <v>91</v>
      </c>
      <c r="J10" s="106" t="s">
        <v>90</v>
      </c>
      <c r="K10" s="106" t="s">
        <v>90</v>
      </c>
      <c r="P10" s="121"/>
      <c r="W10" t="str">
        <f>traduzioni!A27</f>
        <v>Longue</v>
      </c>
      <c r="X10">
        <v>0.7</v>
      </c>
    </row>
    <row r="11" spans="5:24" ht="15" customHeight="1">
      <c r="E11" s="120"/>
      <c r="F11" s="130" t="s">
        <v>70</v>
      </c>
      <c r="G11">
        <v>21</v>
      </c>
      <c r="H11">
        <v>2.5</v>
      </c>
      <c r="I11">
        <v>380</v>
      </c>
      <c r="J11">
        <f>11000</f>
        <v>11000</v>
      </c>
      <c r="K11">
        <v>370</v>
      </c>
      <c r="M11" t="s">
        <v>77</v>
      </c>
      <c r="N11">
        <f>IF(GEOMETRY!H14="NTC 2018 (ITA)",1.35,1.25)</f>
        <v>1.25</v>
      </c>
      <c r="O11" t="s">
        <v>376</v>
      </c>
      <c r="P11" s="121"/>
      <c r="W11" t="str">
        <f>traduzioni!A28</f>
        <v>Moyenne</v>
      </c>
      <c r="X11">
        <v>0.8</v>
      </c>
    </row>
    <row r="12" spans="5:24" ht="15" customHeight="1">
      <c r="E12" s="120"/>
      <c r="F12" s="130" t="s">
        <v>71</v>
      </c>
      <c r="G12">
        <v>24</v>
      </c>
      <c r="H12">
        <v>2.5</v>
      </c>
      <c r="I12">
        <v>380</v>
      </c>
      <c r="J12">
        <v>11500</v>
      </c>
      <c r="K12">
        <v>300</v>
      </c>
      <c r="M12" t="s">
        <v>78</v>
      </c>
      <c r="N12">
        <f>VLOOKUP('CALCOLI STS (slab to slab)'!H2,W9:X14,2,FALSE)</f>
        <v>1</v>
      </c>
      <c r="O12" t="s">
        <v>376</v>
      </c>
      <c r="P12" s="121"/>
      <c r="W12" t="str">
        <f>traduzioni!A29</f>
        <v>Courte</v>
      </c>
      <c r="X12">
        <v>0.9</v>
      </c>
    </row>
    <row r="13" spans="5:24" ht="15" customHeight="1">
      <c r="E13" s="120"/>
      <c r="F13" s="183" t="s">
        <v>393</v>
      </c>
      <c r="G13" s="182"/>
      <c r="H13" s="182"/>
      <c r="I13" s="182"/>
      <c r="J13" s="182"/>
      <c r="K13" s="182" t="s">
        <v>267</v>
      </c>
      <c r="P13" s="121"/>
      <c r="W13" t="str">
        <f>traduzioni!A30</f>
        <v>Instantanée</v>
      </c>
      <c r="X13">
        <v>1.1000000000000001</v>
      </c>
    </row>
    <row r="14" spans="5:24" ht="15" customHeight="1">
      <c r="E14" s="120"/>
      <c r="M14" t="s">
        <v>89</v>
      </c>
      <c r="N14">
        <f>VLOOKUP($M$9,$F$11:$K$13,4,FALSE)</f>
        <v>380</v>
      </c>
      <c r="O14" t="s">
        <v>91</v>
      </c>
      <c r="P14" s="121"/>
      <c r="W14" t="str">
        <f>traduzioni!A31</f>
        <v>Brève/Instantanée</v>
      </c>
      <c r="X14">
        <v>1</v>
      </c>
    </row>
    <row r="15" spans="5:24" ht="15" customHeight="1">
      <c r="E15" s="120"/>
      <c r="M15" t="s">
        <v>266</v>
      </c>
      <c r="N15">
        <f>VLOOKUP($M$9,$F$11:$K$13,5,FALSE)</f>
        <v>11000</v>
      </c>
      <c r="O15" t="s">
        <v>90</v>
      </c>
      <c r="P15" s="121"/>
    </row>
    <row r="16" spans="5:24" ht="15" customHeight="1">
      <c r="E16" s="120"/>
      <c r="M16" t="s">
        <v>265</v>
      </c>
      <c r="N16">
        <f>VLOOKUP($M$9,$F$11:$K$13,6,FALSE)</f>
        <v>370</v>
      </c>
      <c r="O16" t="s">
        <v>90</v>
      </c>
      <c r="P16" s="121"/>
    </row>
    <row r="17" spans="1:19" ht="15" customHeight="1">
      <c r="E17" s="120"/>
      <c r="P17" s="121"/>
    </row>
    <row r="18" spans="1:19" ht="15" customHeight="1">
      <c r="E18" s="120"/>
      <c r="M18" t="s">
        <v>72</v>
      </c>
      <c r="N18">
        <f>VLOOKUP($M$9,$F$11:$K$13,2,FALSE)*(N12/N11)</f>
        <v>16.8</v>
      </c>
      <c r="O18" t="s">
        <v>90</v>
      </c>
      <c r="P18" s="121"/>
    </row>
    <row r="19" spans="1:19" ht="15" customHeight="1">
      <c r="E19" s="122"/>
      <c r="F19" s="115"/>
      <c r="G19" s="115"/>
      <c r="H19" s="115"/>
      <c r="I19" s="115"/>
      <c r="J19" s="115"/>
      <c r="K19" s="115"/>
      <c r="L19" s="115"/>
      <c r="M19" s="115"/>
      <c r="N19" s="115"/>
      <c r="O19" s="115"/>
      <c r="P19" s="123"/>
    </row>
    <row r="20" spans="1:19" ht="15" customHeight="1"/>
    <row r="21" spans="1:19" ht="15" customHeight="1"/>
    <row r="22" spans="1:19" ht="15" customHeight="1">
      <c r="A22" t="s">
        <v>15</v>
      </c>
      <c r="B22">
        <f>E25</f>
        <v>5</v>
      </c>
      <c r="C22" t="str">
        <f>_xlfn.CONCAT("L","_",B22,)</f>
        <v>L_5</v>
      </c>
      <c r="F22" t="str">
        <f>traduzioni!A170</f>
        <v>Panneaux</v>
      </c>
    </row>
    <row r="23" spans="1:19" ht="15" customHeight="1">
      <c r="B23">
        <f>E42</f>
        <v>7</v>
      </c>
      <c r="C23" t="str">
        <f t="shared" ref="C23" si="0">_xlfn.CONCAT("L","_",B23,)</f>
        <v>L_7</v>
      </c>
      <c r="F23" s="68"/>
      <c r="G23" s="132" t="s">
        <v>4</v>
      </c>
      <c r="H23" s="132" t="s">
        <v>5</v>
      </c>
      <c r="I23" s="132" t="s">
        <v>6</v>
      </c>
      <c r="J23" s="132" t="s">
        <v>7</v>
      </c>
      <c r="K23" s="132" t="s">
        <v>8</v>
      </c>
      <c r="L23" s="132" t="s">
        <v>9</v>
      </c>
      <c r="M23" s="132" t="s">
        <v>10</v>
      </c>
      <c r="N23" s="132" t="s">
        <v>11</v>
      </c>
      <c r="O23" s="132" t="s">
        <v>12</v>
      </c>
      <c r="P23" s="132" t="s">
        <v>13</v>
      </c>
      <c r="Q23" s="132" t="s">
        <v>14</v>
      </c>
      <c r="R23" s="132" t="s">
        <v>58</v>
      </c>
      <c r="S23" s="132" t="s">
        <v>59</v>
      </c>
    </row>
    <row r="24" spans="1:19" ht="15" customHeight="1">
      <c r="B24">
        <f>E63</f>
        <v>9</v>
      </c>
      <c r="C24" t="str">
        <f>_xlfn.CONCAT("L","_",B24,)</f>
        <v>L_9</v>
      </c>
      <c r="F24" s="68"/>
      <c r="G24" s="132" t="s">
        <v>376</v>
      </c>
      <c r="H24" s="132" t="s">
        <v>35</v>
      </c>
      <c r="I24" s="132" t="s">
        <v>35</v>
      </c>
      <c r="J24" s="132" t="s">
        <v>35</v>
      </c>
      <c r="K24" s="132" t="s">
        <v>35</v>
      </c>
      <c r="L24" s="132" t="s">
        <v>35</v>
      </c>
      <c r="M24" s="132" t="s">
        <v>35</v>
      </c>
      <c r="N24" s="132" t="s">
        <v>35</v>
      </c>
      <c r="O24" s="132" t="s">
        <v>35</v>
      </c>
      <c r="P24" s="132" t="s">
        <v>35</v>
      </c>
      <c r="Q24" s="132" t="s">
        <v>35</v>
      </c>
      <c r="R24" s="132" t="s">
        <v>35</v>
      </c>
      <c r="S24" s="132" t="s">
        <v>35</v>
      </c>
    </row>
    <row r="25" spans="1:19" ht="15" customHeight="1">
      <c r="B25">
        <f>E74</f>
        <v>11</v>
      </c>
      <c r="C25" t="str">
        <f>_xlfn.CONCAT("L","_",B25,)</f>
        <v>L_11</v>
      </c>
      <c r="E25">
        <v>5</v>
      </c>
      <c r="F25" t="str">
        <f>_xlfn.CONCAT(H25,"mm - ",G25," - ",I25," ",J25," ",K25," ",L25," ",M25)</f>
        <v>160mm - 5s - 40 20 40 20 40</v>
      </c>
      <c r="G25" s="34" t="s">
        <v>426</v>
      </c>
      <c r="H25">
        <f>SUM(I25:M25)</f>
        <v>160</v>
      </c>
      <c r="I25">
        <v>40</v>
      </c>
      <c r="J25">
        <v>20</v>
      </c>
      <c r="K25">
        <v>40</v>
      </c>
      <c r="L25">
        <v>20</v>
      </c>
      <c r="M25">
        <v>40</v>
      </c>
    </row>
    <row r="26" spans="1:19" ht="15" customHeight="1">
      <c r="F26" t="str">
        <f t="shared" ref="F26:F32" si="1">_xlfn.CONCAT(H26,"mm - ",G26," - ",I26," ",J26," ",K26," ",L26," ",M26)</f>
        <v>160mm - 5s - 30 30 40 30 30</v>
      </c>
      <c r="G26" s="34" t="s">
        <v>426</v>
      </c>
      <c r="H26">
        <f>SUM(I26:M26)</f>
        <v>160</v>
      </c>
      <c r="I26">
        <v>30</v>
      </c>
      <c r="J26">
        <v>30</v>
      </c>
      <c r="K26">
        <v>40</v>
      </c>
      <c r="L26">
        <v>30</v>
      </c>
      <c r="M26">
        <v>30</v>
      </c>
    </row>
    <row r="27" spans="1:19" ht="15" customHeight="1">
      <c r="F27" t="str">
        <f t="shared" si="1"/>
        <v>170mm - 5s - 40 30 30 30 40</v>
      </c>
      <c r="G27" s="34" t="s">
        <v>426</v>
      </c>
      <c r="H27">
        <f>SUM(I27:M27)</f>
        <v>170</v>
      </c>
      <c r="I27">
        <v>40</v>
      </c>
      <c r="J27">
        <v>30</v>
      </c>
      <c r="K27">
        <v>30</v>
      </c>
      <c r="L27">
        <v>30</v>
      </c>
      <c r="M27">
        <v>40</v>
      </c>
    </row>
    <row r="28" spans="1:19" ht="15" customHeight="1">
      <c r="F28" t="str">
        <f t="shared" ref="F28" si="2">_xlfn.CONCAT(H28,"mm - ",G28," - ",I28," ",J28," ",K28," ",L28," ",M28)</f>
        <v>170mm - 5s - 30 40 30 40 30</v>
      </c>
      <c r="G28" s="34" t="s">
        <v>426</v>
      </c>
      <c r="H28">
        <f>SUM(I28:M28)</f>
        <v>170</v>
      </c>
      <c r="I28">
        <v>30</v>
      </c>
      <c r="J28">
        <v>40</v>
      </c>
      <c r="K28">
        <v>30</v>
      </c>
      <c r="L28">
        <v>40</v>
      </c>
      <c r="M28">
        <v>30</v>
      </c>
    </row>
    <row r="29" spans="1:19" ht="15" customHeight="1">
      <c r="F29" t="str">
        <f t="shared" si="1"/>
        <v>180mm - 5s - 40 30 40 30 40</v>
      </c>
      <c r="G29" s="34" t="s">
        <v>426</v>
      </c>
      <c r="H29">
        <f t="shared" ref="H29:H35" si="3">SUM(I29:M29)</f>
        <v>180</v>
      </c>
      <c r="I29">
        <v>40</v>
      </c>
      <c r="J29">
        <v>30</v>
      </c>
      <c r="K29">
        <v>40</v>
      </c>
      <c r="L29">
        <v>30</v>
      </c>
      <c r="M29">
        <v>40</v>
      </c>
    </row>
    <row r="30" spans="1:19" ht="15" customHeight="1">
      <c r="F30" t="str">
        <f t="shared" si="1"/>
        <v>190mm - 5s - 40 40 30 40 40</v>
      </c>
      <c r="G30" s="34" t="s">
        <v>426</v>
      </c>
      <c r="H30">
        <f t="shared" ref="H30:H31" si="4">SUM(I30:M30)</f>
        <v>190</v>
      </c>
      <c r="I30">
        <v>40</v>
      </c>
      <c r="J30">
        <v>40</v>
      </c>
      <c r="K30">
        <v>30</v>
      </c>
      <c r="L30">
        <v>40</v>
      </c>
      <c r="M30">
        <v>40</v>
      </c>
    </row>
    <row r="31" spans="1:19" ht="15" customHeight="1">
      <c r="F31" t="str">
        <f t="shared" ref="F31" si="5">_xlfn.CONCAT(H31,"mm - ",G31," - ",I31," ",J31," ",K31," ",L31," ",M31)</f>
        <v>200mm - 5s - 60 20 40 20 60</v>
      </c>
      <c r="G31" s="34" t="s">
        <v>426</v>
      </c>
      <c r="H31">
        <f t="shared" si="4"/>
        <v>200</v>
      </c>
      <c r="I31">
        <v>60</v>
      </c>
      <c r="J31">
        <v>20</v>
      </c>
      <c r="K31">
        <v>40</v>
      </c>
      <c r="L31">
        <v>20</v>
      </c>
      <c r="M31">
        <v>60</v>
      </c>
    </row>
    <row r="32" spans="1:19" ht="15" customHeight="1">
      <c r="F32" t="str">
        <f t="shared" si="1"/>
        <v>200mm - 5s - 40 40 40 40 40</v>
      </c>
      <c r="G32" s="34" t="s">
        <v>426</v>
      </c>
      <c r="H32">
        <f t="shared" si="3"/>
        <v>200</v>
      </c>
      <c r="I32">
        <v>40</v>
      </c>
      <c r="J32">
        <v>40</v>
      </c>
      <c r="K32">
        <v>40</v>
      </c>
      <c r="L32">
        <v>40</v>
      </c>
      <c r="M32">
        <v>40</v>
      </c>
    </row>
    <row r="33" spans="5:19" ht="15" customHeight="1">
      <c r="F33" t="str">
        <f t="shared" ref="F33" si="6">_xlfn.CONCAT(H33,"mm - ",G33," - ",I33," ",J33," ",K33," ",L33," ",M33)</f>
        <v>220mm - 5s - 60 30 40 30 60</v>
      </c>
      <c r="G33" s="34" t="s">
        <v>426</v>
      </c>
      <c r="H33">
        <f t="shared" ref="H33" si="7">SUM(I33:M33)</f>
        <v>220</v>
      </c>
      <c r="I33">
        <v>60</v>
      </c>
      <c r="J33">
        <v>30</v>
      </c>
      <c r="K33">
        <v>40</v>
      </c>
      <c r="L33">
        <v>30</v>
      </c>
      <c r="M33">
        <v>60</v>
      </c>
    </row>
    <row r="34" spans="5:19" ht="15" customHeight="1">
      <c r="F34" t="str">
        <f t="shared" ref="F34" si="8">_xlfn.CONCAT(H34,"mm - ",G34," - ",I34," ",J34," ",K34," ",L34," ",M34)</f>
        <v>260mm - 5s - 80 30 40 30 80</v>
      </c>
      <c r="G34" s="34" t="s">
        <v>426</v>
      </c>
      <c r="H34">
        <f t="shared" ref="H34" si="9">SUM(I34:M34)</f>
        <v>260</v>
      </c>
      <c r="I34">
        <v>80</v>
      </c>
      <c r="J34">
        <v>30</v>
      </c>
      <c r="K34">
        <v>40</v>
      </c>
      <c r="L34">
        <v>30</v>
      </c>
      <c r="M34">
        <v>80</v>
      </c>
    </row>
    <row r="35" spans="5:19" ht="15" customHeight="1">
      <c r="F35" t="str">
        <f>_xlfn.CONCAT(H35,"mm - ",G35," - ",I35," ",J35," ",K35," ",L35," ",M35," - user")</f>
        <v>0mm - 5s -      - user</v>
      </c>
      <c r="G35" s="34" t="s">
        <v>426</v>
      </c>
      <c r="H35">
        <f t="shared" si="3"/>
        <v>0</v>
      </c>
      <c r="I35" s="182"/>
      <c r="J35" s="182"/>
      <c r="K35" s="182"/>
      <c r="L35" s="182"/>
      <c r="M35" s="182"/>
    </row>
    <row r="36" spans="5:19" ht="15" customHeight="1"/>
    <row r="37" spans="5:19" ht="15" customHeight="1"/>
    <row r="38" spans="5:19" ht="15" customHeight="1"/>
    <row r="39" spans="5:19" ht="15" customHeight="1"/>
    <row r="40" spans="5:19" ht="15" customHeight="1">
      <c r="F40" s="68"/>
      <c r="G40" s="132" t="s">
        <v>4</v>
      </c>
      <c r="H40" s="132" t="s">
        <v>5</v>
      </c>
      <c r="I40" s="132" t="s">
        <v>6</v>
      </c>
      <c r="J40" s="132" t="s">
        <v>7</v>
      </c>
      <c r="K40" s="132" t="s">
        <v>8</v>
      </c>
      <c r="L40" s="132" t="s">
        <v>9</v>
      </c>
      <c r="M40" s="132" t="s">
        <v>10</v>
      </c>
      <c r="N40" s="132" t="s">
        <v>11</v>
      </c>
      <c r="O40" s="132" t="s">
        <v>12</v>
      </c>
      <c r="P40" s="132" t="s">
        <v>13</v>
      </c>
      <c r="Q40" s="132" t="s">
        <v>14</v>
      </c>
      <c r="R40" s="132" t="s">
        <v>58</v>
      </c>
      <c r="S40" s="132" t="s">
        <v>59</v>
      </c>
    </row>
    <row r="41" spans="5:19" ht="15" customHeight="1">
      <c r="F41" s="68"/>
      <c r="G41" s="132" t="s">
        <v>376</v>
      </c>
      <c r="H41" s="132" t="s">
        <v>35</v>
      </c>
      <c r="I41" s="132" t="s">
        <v>35</v>
      </c>
      <c r="J41" s="132" t="s">
        <v>35</v>
      </c>
      <c r="K41" s="132" t="s">
        <v>35</v>
      </c>
      <c r="L41" s="132" t="s">
        <v>35</v>
      </c>
      <c r="M41" s="132" t="s">
        <v>35</v>
      </c>
      <c r="N41" s="132" t="s">
        <v>35</v>
      </c>
      <c r="O41" s="132" t="s">
        <v>35</v>
      </c>
      <c r="P41" s="132" t="s">
        <v>35</v>
      </c>
      <c r="Q41" s="132" t="s">
        <v>35</v>
      </c>
      <c r="R41" s="132" t="s">
        <v>35</v>
      </c>
      <c r="S41" s="132" t="s">
        <v>35</v>
      </c>
    </row>
    <row r="42" spans="5:19" ht="15" customHeight="1">
      <c r="E42">
        <v>7</v>
      </c>
      <c r="F42" t="str">
        <f>_xlfn.CONCAT(H42,"mm - ",G42," - ",I42," ",J42," ",K42," ",L42," ",M42," ",N42," ",O42)</f>
        <v>180mm - 7s - 30 20 30 20 30 20 30</v>
      </c>
      <c r="G42" s="34" t="s">
        <v>427</v>
      </c>
      <c r="H42">
        <f>SUM(I42:O42)</f>
        <v>180</v>
      </c>
      <c r="I42">
        <v>30</v>
      </c>
      <c r="J42">
        <v>20</v>
      </c>
      <c r="K42">
        <v>30</v>
      </c>
      <c r="L42">
        <v>20</v>
      </c>
      <c r="M42">
        <v>30</v>
      </c>
      <c r="N42">
        <v>20</v>
      </c>
      <c r="O42">
        <v>30</v>
      </c>
    </row>
    <row r="43" spans="5:19" ht="15" customHeight="1">
      <c r="F43" t="str">
        <f t="shared" ref="F43:F55" si="10">_xlfn.CONCAT(H43,"mm - ",G43," - ",I43," ",J43," ",K43," ",L43," ",M43," ",N43," ",O43)</f>
        <v>180mm - 7s - 20 40 20 20 20 40 20</v>
      </c>
      <c r="G43" s="34" t="s">
        <v>427</v>
      </c>
      <c r="H43">
        <f>SUM(I43:O43)</f>
        <v>180</v>
      </c>
      <c r="I43">
        <v>20</v>
      </c>
      <c r="J43">
        <v>40</v>
      </c>
      <c r="K43">
        <v>20</v>
      </c>
      <c r="L43">
        <v>20</v>
      </c>
      <c r="M43">
        <v>20</v>
      </c>
      <c r="N43">
        <v>40</v>
      </c>
      <c r="O43">
        <v>20</v>
      </c>
    </row>
    <row r="44" spans="5:19" ht="15" customHeight="1">
      <c r="F44" t="str">
        <f t="shared" si="10"/>
        <v>200mm - 7s - 20 40 20 40 20 40 20</v>
      </c>
      <c r="G44" s="34" t="s">
        <v>427</v>
      </c>
      <c r="H44">
        <f t="shared" ref="H44:H47" si="11">SUM(I44:O44)</f>
        <v>200</v>
      </c>
      <c r="I44">
        <v>20</v>
      </c>
      <c r="J44">
        <v>40</v>
      </c>
      <c r="K44">
        <v>20</v>
      </c>
      <c r="L44">
        <v>40</v>
      </c>
      <c r="M44">
        <v>20</v>
      </c>
      <c r="N44">
        <v>40</v>
      </c>
      <c r="O44">
        <v>20</v>
      </c>
    </row>
    <row r="45" spans="5:19" ht="15" customHeight="1">
      <c r="F45" t="str">
        <f t="shared" si="10"/>
        <v>200mm - 7s - 30 30 30 20 30 30 30</v>
      </c>
      <c r="G45" s="34" t="s">
        <v>427</v>
      </c>
      <c r="H45">
        <f t="shared" si="11"/>
        <v>200</v>
      </c>
      <c r="I45">
        <v>30</v>
      </c>
      <c r="J45">
        <v>30</v>
      </c>
      <c r="K45">
        <v>30</v>
      </c>
      <c r="L45">
        <v>20</v>
      </c>
      <c r="M45">
        <v>30</v>
      </c>
      <c r="N45">
        <v>30</v>
      </c>
      <c r="O45">
        <v>30</v>
      </c>
    </row>
    <row r="46" spans="5:19" ht="15" customHeight="1">
      <c r="F46" t="str">
        <f t="shared" si="10"/>
        <v>210mm - 7s - 30 30 30 30 30 30 30</v>
      </c>
      <c r="G46" s="34" t="s">
        <v>427</v>
      </c>
      <c r="H46">
        <f t="shared" si="11"/>
        <v>210</v>
      </c>
      <c r="I46">
        <v>30</v>
      </c>
      <c r="J46">
        <v>30</v>
      </c>
      <c r="K46">
        <v>30</v>
      </c>
      <c r="L46">
        <v>30</v>
      </c>
      <c r="M46">
        <v>30</v>
      </c>
      <c r="N46">
        <v>30</v>
      </c>
      <c r="O46">
        <v>30</v>
      </c>
    </row>
    <row r="47" spans="5:19" ht="15" customHeight="1">
      <c r="F47" t="str">
        <f t="shared" si="10"/>
        <v>220mm - 7s - 40 40 20 20 20 40 40</v>
      </c>
      <c r="G47" s="34" t="s">
        <v>427</v>
      </c>
      <c r="H47">
        <f t="shared" si="11"/>
        <v>220</v>
      </c>
      <c r="I47">
        <v>40</v>
      </c>
      <c r="J47">
        <v>40</v>
      </c>
      <c r="K47">
        <v>20</v>
      </c>
      <c r="L47">
        <v>20</v>
      </c>
      <c r="M47">
        <v>20</v>
      </c>
      <c r="N47">
        <v>40</v>
      </c>
      <c r="O47">
        <v>40</v>
      </c>
    </row>
    <row r="48" spans="5:19" ht="15" customHeight="1">
      <c r="F48" t="str">
        <f t="shared" ref="F48" si="12">_xlfn.CONCAT(H48,"mm - ",G48," - ",I48," ",J48," ",K48," ",L48," ",M48," ",N48," ",O48)</f>
        <v>220mm - 7s - 30 40 30 20 30 40 30</v>
      </c>
      <c r="G48" s="34" t="s">
        <v>427</v>
      </c>
      <c r="H48">
        <f t="shared" ref="H48" si="13">SUM(I48:O48)</f>
        <v>220</v>
      </c>
      <c r="I48">
        <v>30</v>
      </c>
      <c r="J48">
        <v>40</v>
      </c>
      <c r="K48">
        <v>30</v>
      </c>
      <c r="L48">
        <v>20</v>
      </c>
      <c r="M48">
        <v>30</v>
      </c>
      <c r="N48">
        <v>40</v>
      </c>
      <c r="O48">
        <v>30</v>
      </c>
    </row>
    <row r="49" spans="5:19" ht="15" customHeight="1">
      <c r="F49" t="str">
        <f t="shared" ref="F49" si="14">_xlfn.CONCAT(H49,"mm - ",G49," - ",I49," ",J49," ",K49," ",L49," ",M49," ",N49," ",O49)</f>
        <v>220mm - 7s - 40 20 40 20 40 20 40</v>
      </c>
      <c r="G49" s="34" t="s">
        <v>427</v>
      </c>
      <c r="H49">
        <f t="shared" ref="H49:H50" si="15">SUM(I49:O49)</f>
        <v>220</v>
      </c>
      <c r="I49">
        <v>40</v>
      </c>
      <c r="J49">
        <v>20</v>
      </c>
      <c r="K49">
        <v>40</v>
      </c>
      <c r="L49">
        <v>20</v>
      </c>
      <c r="M49">
        <v>40</v>
      </c>
      <c r="N49">
        <v>20</v>
      </c>
      <c r="O49">
        <v>40</v>
      </c>
    </row>
    <row r="50" spans="5:19" ht="15" customHeight="1">
      <c r="F50" t="str">
        <f t="shared" si="10"/>
        <v>240mm - 7s - 30 40 30 40 30 40 30</v>
      </c>
      <c r="G50" s="34" t="s">
        <v>427</v>
      </c>
      <c r="H50">
        <f t="shared" si="15"/>
        <v>240</v>
      </c>
      <c r="I50">
        <v>30</v>
      </c>
      <c r="J50">
        <v>40</v>
      </c>
      <c r="K50">
        <v>30</v>
      </c>
      <c r="L50">
        <v>40</v>
      </c>
      <c r="M50">
        <v>30</v>
      </c>
      <c r="N50">
        <v>40</v>
      </c>
      <c r="O50">
        <v>30</v>
      </c>
    </row>
    <row r="51" spans="5:19" ht="15" customHeight="1">
      <c r="F51" t="str">
        <f t="shared" ref="F51:F52" si="16">_xlfn.CONCAT(H51,"mm - ",G51," - ",I51," ",J51," ",K51," ",L51," ",M51," ",N51," ",O51)</f>
        <v>240mm - 7s - 40 40 20 40 20 40 40</v>
      </c>
      <c r="G51" s="34" t="s">
        <v>427</v>
      </c>
      <c r="H51">
        <f t="shared" ref="H51:H52" si="17">SUM(I51:O51)</f>
        <v>240</v>
      </c>
      <c r="I51">
        <v>40</v>
      </c>
      <c r="J51">
        <v>40</v>
      </c>
      <c r="K51">
        <v>20</v>
      </c>
      <c r="L51">
        <v>40</v>
      </c>
      <c r="M51">
        <v>20</v>
      </c>
      <c r="N51">
        <v>40</v>
      </c>
      <c r="O51">
        <v>40</v>
      </c>
    </row>
    <row r="52" spans="5:19" ht="15" customHeight="1">
      <c r="F52" t="str">
        <f t="shared" si="16"/>
        <v>240mm - 7s - 40 20 40 40 40 20 40</v>
      </c>
      <c r="G52" s="34" t="s">
        <v>427</v>
      </c>
      <c r="H52">
        <f t="shared" si="17"/>
        <v>240</v>
      </c>
      <c r="I52">
        <v>40</v>
      </c>
      <c r="J52">
        <v>20</v>
      </c>
      <c r="K52">
        <v>40</v>
      </c>
      <c r="L52">
        <v>40</v>
      </c>
      <c r="M52">
        <v>40</v>
      </c>
      <c r="N52">
        <v>20</v>
      </c>
      <c r="O52">
        <v>40</v>
      </c>
    </row>
    <row r="53" spans="5:19" ht="15" customHeight="1">
      <c r="F53" t="str">
        <f t="shared" ref="F53" si="18">_xlfn.CONCAT(H53,"mm - ",G53," - ",I53," ",J53," ",K53," ",L53," ",M53," ",N53," ",O53)</f>
        <v>252mm - 7s - 33 40 33 40 33 40 33</v>
      </c>
      <c r="G53" s="34" t="s">
        <v>427</v>
      </c>
      <c r="H53">
        <f t="shared" ref="H53" si="19">SUM(I53:O53)</f>
        <v>252</v>
      </c>
      <c r="I53">
        <v>33</v>
      </c>
      <c r="J53">
        <v>40</v>
      </c>
      <c r="K53">
        <v>33</v>
      </c>
      <c r="L53">
        <v>40</v>
      </c>
      <c r="M53">
        <v>33</v>
      </c>
      <c r="N53">
        <v>40</v>
      </c>
      <c r="O53">
        <v>33</v>
      </c>
    </row>
    <row r="54" spans="5:19" ht="15" customHeight="1">
      <c r="F54" t="str">
        <f t="shared" ref="F54" si="20">_xlfn.CONCAT(H54,"mm - ",G54," - ",I54," ",J54," ",K54," ",L54," ",M54," ",N54," ",O54)</f>
        <v>260mm - 7s - 40 40 30 40 30 40 40</v>
      </c>
      <c r="G54" s="34" t="s">
        <v>427</v>
      </c>
      <c r="H54">
        <f t="shared" ref="H54" si="21">SUM(I54:O54)</f>
        <v>260</v>
      </c>
      <c r="I54">
        <v>40</v>
      </c>
      <c r="J54">
        <v>40</v>
      </c>
      <c r="K54">
        <v>30</v>
      </c>
      <c r="L54">
        <v>40</v>
      </c>
      <c r="M54">
        <v>30</v>
      </c>
      <c r="N54">
        <v>40</v>
      </c>
      <c r="O54">
        <v>40</v>
      </c>
    </row>
    <row r="55" spans="5:19" ht="15" customHeight="1">
      <c r="F55" t="str">
        <f t="shared" si="10"/>
        <v>280mm - 7s - 40 40 40 40 40 40 40</v>
      </c>
      <c r="G55" s="34" t="s">
        <v>427</v>
      </c>
      <c r="H55">
        <f>SUM(I55:O55)</f>
        <v>280</v>
      </c>
      <c r="I55">
        <v>40</v>
      </c>
      <c r="J55">
        <v>40</v>
      </c>
      <c r="K55">
        <v>40</v>
      </c>
      <c r="L55">
        <v>40</v>
      </c>
      <c r="M55">
        <v>40</v>
      </c>
      <c r="N55">
        <v>40</v>
      </c>
      <c r="O55">
        <v>40</v>
      </c>
    </row>
    <row r="56" spans="5:19" ht="15" customHeight="1">
      <c r="F56" t="str">
        <f>_xlfn.CONCAT(H56,"mm - ",G56," - ",I56," ",J56," ",K56," ",L56," ",M56," ",N56," ",O56," - user")</f>
        <v>0mm - 7s -        - user</v>
      </c>
      <c r="G56" s="34" t="s">
        <v>427</v>
      </c>
      <c r="H56">
        <f>SUM(I56:O56)</f>
        <v>0</v>
      </c>
      <c r="I56" s="182"/>
      <c r="J56" s="182"/>
      <c r="K56" s="182"/>
      <c r="L56" s="182"/>
      <c r="M56" s="182"/>
      <c r="N56" s="182"/>
      <c r="O56" s="182"/>
    </row>
    <row r="57" spans="5:19" ht="15" customHeight="1"/>
    <row r="58" spans="5:19" ht="15" customHeight="1"/>
    <row r="59" spans="5:19" ht="15" customHeight="1"/>
    <row r="60" spans="5:19" ht="15" customHeight="1"/>
    <row r="61" spans="5:19" ht="15" customHeight="1">
      <c r="F61" s="68"/>
      <c r="G61" s="132" t="s">
        <v>4</v>
      </c>
      <c r="H61" s="132" t="s">
        <v>5</v>
      </c>
      <c r="I61" s="132" t="s">
        <v>6</v>
      </c>
      <c r="J61" s="132" t="s">
        <v>7</v>
      </c>
      <c r="K61" s="132" t="s">
        <v>8</v>
      </c>
      <c r="L61" s="132" t="s">
        <v>9</v>
      </c>
      <c r="M61" s="132" t="s">
        <v>10</v>
      </c>
      <c r="N61" s="132" t="s">
        <v>11</v>
      </c>
      <c r="O61" s="132" t="s">
        <v>12</v>
      </c>
      <c r="P61" s="132" t="s">
        <v>13</v>
      </c>
      <c r="Q61" s="132" t="s">
        <v>14</v>
      </c>
      <c r="R61" s="132" t="s">
        <v>58</v>
      </c>
      <c r="S61" s="132" t="s">
        <v>59</v>
      </c>
    </row>
    <row r="62" spans="5:19" ht="15" customHeight="1">
      <c r="F62" s="68"/>
      <c r="G62" s="132" t="s">
        <v>376</v>
      </c>
      <c r="H62" s="132" t="s">
        <v>35</v>
      </c>
      <c r="I62" s="132" t="s">
        <v>35</v>
      </c>
      <c r="J62" s="132" t="s">
        <v>35</v>
      </c>
      <c r="K62" s="132" t="s">
        <v>35</v>
      </c>
      <c r="L62" s="132" t="s">
        <v>35</v>
      </c>
      <c r="M62" s="132" t="s">
        <v>35</v>
      </c>
      <c r="N62" s="132" t="s">
        <v>35</v>
      </c>
      <c r="O62" s="132" t="s">
        <v>35</v>
      </c>
      <c r="P62" s="132" t="s">
        <v>35</v>
      </c>
      <c r="Q62" s="132" t="s">
        <v>35</v>
      </c>
      <c r="R62" s="132" t="s">
        <v>35</v>
      </c>
      <c r="S62" s="132" t="s">
        <v>35</v>
      </c>
    </row>
    <row r="63" spans="5:19" ht="15" customHeight="1">
      <c r="E63">
        <v>9</v>
      </c>
      <c r="F63" t="str">
        <f>_xlfn.CONCAT(H63,"mm - ",G63," - ",I63," ",J63," ",K63," ",L63," ",M63," ",N63," ",O63," ",P63," ",Q63)</f>
        <v>297mm - 9s - 33 33 33 33 33 33 33 33 33</v>
      </c>
      <c r="G63" s="34" t="s">
        <v>428</v>
      </c>
      <c r="H63">
        <f>SUM(I63:Q63)</f>
        <v>297</v>
      </c>
      <c r="I63">
        <v>33</v>
      </c>
      <c r="J63">
        <v>33</v>
      </c>
      <c r="K63">
        <v>33</v>
      </c>
      <c r="L63">
        <v>33</v>
      </c>
      <c r="M63">
        <v>33</v>
      </c>
      <c r="N63">
        <v>33</v>
      </c>
      <c r="O63">
        <v>33</v>
      </c>
      <c r="P63">
        <v>33</v>
      </c>
      <c r="Q63">
        <v>33</v>
      </c>
    </row>
    <row r="64" spans="5:19" ht="15" customHeight="1">
      <c r="F64" t="str">
        <f t="shared" ref="F64" si="22">_xlfn.CONCAT(H64,"mm - ",G64," - ",I64," ",J64," ",K64," ",L64," ",M64," ",N64," ",O64," ",P64," ",Q64)</f>
        <v>320mm - 9s - 40 30 40 30 40 30 40 30 40</v>
      </c>
      <c r="G64" s="34" t="s">
        <v>428</v>
      </c>
      <c r="H64">
        <f t="shared" ref="H64:H65" si="23">SUM(I64:Q64)</f>
        <v>320</v>
      </c>
      <c r="I64">
        <v>40</v>
      </c>
      <c r="J64">
        <v>30</v>
      </c>
      <c r="K64">
        <v>40</v>
      </c>
      <c r="L64">
        <v>30</v>
      </c>
      <c r="M64">
        <v>40</v>
      </c>
      <c r="N64">
        <v>30</v>
      </c>
      <c r="O64">
        <v>40</v>
      </c>
      <c r="P64">
        <v>30</v>
      </c>
      <c r="Q64">
        <v>40</v>
      </c>
    </row>
    <row r="65" spans="5:19" ht="15" customHeight="1">
      <c r="F65" t="str">
        <f>_xlfn.CONCAT(H65,"mm - ",G65," - ",I65," ",J65," ",K65," ",L65," ",M65," ",N65," ",O65," ",P65," ",Q65)</f>
        <v>340mm - 9s - 40 40 40 30 40 30 40 40 40</v>
      </c>
      <c r="G65" s="34" t="s">
        <v>428</v>
      </c>
      <c r="H65">
        <f t="shared" si="23"/>
        <v>340</v>
      </c>
      <c r="I65">
        <v>40</v>
      </c>
      <c r="J65">
        <v>40</v>
      </c>
      <c r="K65">
        <v>40</v>
      </c>
      <c r="L65">
        <v>30</v>
      </c>
      <c r="M65">
        <v>40</v>
      </c>
      <c r="N65">
        <v>30</v>
      </c>
      <c r="O65">
        <v>40</v>
      </c>
      <c r="P65">
        <v>40</v>
      </c>
      <c r="Q65">
        <v>40</v>
      </c>
    </row>
    <row r="66" spans="5:19" ht="15" customHeight="1">
      <c r="F66" t="str">
        <f t="shared" ref="F66" si="24">_xlfn.CONCAT(H66,"mm - ",G66," - ",I66," ",J66," ",K66," ",L66," ",M66," ",N66," ",O66," ",P66," ",Q66)</f>
        <v>360mm - 9s - 40 40 40 40 40 40 40 40 40</v>
      </c>
      <c r="G66" s="34" t="s">
        <v>428</v>
      </c>
      <c r="H66">
        <f t="shared" ref="H66" si="25">SUM(I66:Q66)</f>
        <v>360</v>
      </c>
      <c r="I66">
        <v>40</v>
      </c>
      <c r="J66">
        <v>40</v>
      </c>
      <c r="K66">
        <v>40</v>
      </c>
      <c r="L66">
        <v>40</v>
      </c>
      <c r="M66">
        <v>40</v>
      </c>
      <c r="N66">
        <v>40</v>
      </c>
      <c r="O66">
        <v>40</v>
      </c>
      <c r="P66">
        <v>40</v>
      </c>
      <c r="Q66">
        <v>40</v>
      </c>
    </row>
    <row r="67" spans="5:19" ht="15" customHeight="1">
      <c r="F67" t="str">
        <f>_xlfn.CONCAT(H67,"mm - ",G67," - ",I67," ",J67," ",K67," ",L67," ",M67," ",N67," ",O67," ",P67," ",Q67," - user")</f>
        <v>0mm - 9s -          - user</v>
      </c>
      <c r="G67" s="34" t="s">
        <v>428</v>
      </c>
      <c r="H67">
        <f t="shared" ref="H67" si="26">SUM(I67:Q67)</f>
        <v>0</v>
      </c>
      <c r="I67" s="182"/>
      <c r="J67" s="182"/>
      <c r="K67" s="182"/>
      <c r="L67" s="182"/>
      <c r="M67" s="182"/>
      <c r="N67" s="182"/>
      <c r="O67" s="182"/>
      <c r="P67" s="182"/>
      <c r="Q67" s="182"/>
    </row>
    <row r="68" spans="5:19" ht="15" customHeight="1"/>
    <row r="69" spans="5:19" ht="15" customHeight="1"/>
    <row r="70" spans="5:19" ht="15" customHeight="1"/>
    <row r="71" spans="5:19" ht="15" customHeight="1"/>
    <row r="72" spans="5:19" ht="15" customHeight="1">
      <c r="F72" s="68"/>
      <c r="G72" s="132" t="s">
        <v>4</v>
      </c>
      <c r="H72" s="132" t="s">
        <v>5</v>
      </c>
      <c r="I72" s="132" t="s">
        <v>6</v>
      </c>
      <c r="J72" s="132" t="s">
        <v>7</v>
      </c>
      <c r="K72" s="132" t="s">
        <v>8</v>
      </c>
      <c r="L72" s="132" t="s">
        <v>9</v>
      </c>
      <c r="M72" s="132" t="s">
        <v>10</v>
      </c>
      <c r="N72" s="132" t="s">
        <v>11</v>
      </c>
      <c r="O72" s="132" t="s">
        <v>12</v>
      </c>
      <c r="P72" s="132" t="s">
        <v>13</v>
      </c>
      <c r="Q72" s="132" t="s">
        <v>14</v>
      </c>
      <c r="R72" s="132" t="s">
        <v>58</v>
      </c>
      <c r="S72" s="132" t="s">
        <v>59</v>
      </c>
    </row>
    <row r="73" spans="5:19" ht="15" customHeight="1">
      <c r="F73" s="68"/>
      <c r="G73" s="132" t="s">
        <v>376</v>
      </c>
      <c r="H73" s="132" t="s">
        <v>35</v>
      </c>
      <c r="I73" s="132" t="s">
        <v>35</v>
      </c>
      <c r="J73" s="132" t="s">
        <v>35</v>
      </c>
      <c r="K73" s="132" t="s">
        <v>35</v>
      </c>
      <c r="L73" s="132" t="s">
        <v>35</v>
      </c>
      <c r="M73" s="132" t="s">
        <v>35</v>
      </c>
      <c r="N73" s="132" t="s">
        <v>35</v>
      </c>
      <c r="O73" s="132" t="s">
        <v>35</v>
      </c>
      <c r="P73" s="132" t="s">
        <v>35</v>
      </c>
      <c r="Q73" s="132" t="s">
        <v>35</v>
      </c>
      <c r="R73" s="132" t="s">
        <v>35</v>
      </c>
      <c r="S73" s="132" t="s">
        <v>35</v>
      </c>
    </row>
    <row r="74" spans="5:19" ht="15" customHeight="1">
      <c r="E74">
        <v>11</v>
      </c>
      <c r="F74" t="str">
        <f>_xlfn.CONCAT(H74,"mm - ",G74," - ",I74," ",J74," ",K74," ",L74," ",M74," ",N74," ",O74," ",P74," ",Q74," ",R74," ",S74)</f>
        <v>220mm - 11s - 20 20 20 20 20 20 20 20 20 20 20</v>
      </c>
      <c r="G74" s="34" t="s">
        <v>429</v>
      </c>
      <c r="H74">
        <f>SUM(I74:S74)</f>
        <v>220</v>
      </c>
      <c r="I74">
        <v>20</v>
      </c>
      <c r="J74">
        <v>20</v>
      </c>
      <c r="K74">
        <v>20</v>
      </c>
      <c r="L74">
        <v>20</v>
      </c>
      <c r="M74">
        <v>20</v>
      </c>
      <c r="N74">
        <v>20</v>
      </c>
      <c r="O74">
        <v>20</v>
      </c>
      <c r="P74">
        <v>20</v>
      </c>
      <c r="Q74">
        <v>20</v>
      </c>
      <c r="R74">
        <v>20</v>
      </c>
      <c r="S74">
        <v>20</v>
      </c>
    </row>
    <row r="75" spans="5:19" ht="15" customHeight="1">
      <c r="F75" t="str">
        <f>_xlfn.CONCAT(H75,"mm - ",G75," - ",I75," ",J75," ",K75," ",L75," ",M75," ",N75," ",O75," ",P75," ",Q75," ",R75," ",S75)</f>
        <v>380mm - 11s - 30 40 30 40 30 40 30 40 30 40 30</v>
      </c>
      <c r="G75" s="34" t="s">
        <v>429</v>
      </c>
      <c r="H75">
        <f t="shared" ref="H75" si="27">SUM(I75:S75)</f>
        <v>380</v>
      </c>
      <c r="I75">
        <v>30</v>
      </c>
      <c r="J75">
        <v>40</v>
      </c>
      <c r="K75">
        <v>30</v>
      </c>
      <c r="L75">
        <v>40</v>
      </c>
      <c r="M75">
        <v>30</v>
      </c>
      <c r="N75">
        <v>40</v>
      </c>
      <c r="O75">
        <v>30</v>
      </c>
      <c r="P75">
        <v>40</v>
      </c>
      <c r="Q75">
        <v>30</v>
      </c>
      <c r="R75">
        <v>40</v>
      </c>
      <c r="S75">
        <v>30</v>
      </c>
    </row>
    <row r="76" spans="5:19" ht="15" customHeight="1">
      <c r="F76" t="str">
        <f>_xlfn.CONCAT(H76,"mm - ",G76," - ",I76," ",J76," ",K76," ",L76," ",M76," ",N76," ",O76," ",P76," ",Q76," ",R76," ",S76," - user")</f>
        <v>0mm - 11s -            - user</v>
      </c>
      <c r="G76" s="34" t="s">
        <v>429</v>
      </c>
      <c r="H76">
        <f t="shared" ref="H76" si="28">SUM(I76:S76)</f>
        <v>0</v>
      </c>
      <c r="I76" s="182"/>
      <c r="J76" s="182"/>
      <c r="K76" s="182"/>
      <c r="L76" s="182"/>
      <c r="M76" s="182"/>
      <c r="N76" s="182"/>
      <c r="O76" s="182"/>
      <c r="P76" s="182"/>
      <c r="Q76" s="182"/>
      <c r="R76" s="182"/>
      <c r="S76" s="182"/>
    </row>
    <row r="77" spans="5:19" ht="15" customHeight="1"/>
    <row r="78" spans="5:19" ht="15" customHeight="1"/>
    <row r="79" spans="5:19" ht="15" customHeight="1"/>
    <row r="80" spans="5:19" ht="15" customHeight="1"/>
    <row r="81" ht="15" customHeight="1"/>
    <row r="82" ht="15" customHeight="1"/>
    <row r="83" ht="15" customHeight="1"/>
    <row r="84" ht="15" customHeight="1"/>
  </sheetData>
  <sheetProtection algorithmName="SHA-512" hashValue="mHfBi0hn/StqaZaVu0HY3LFEY29nfgtrRIMF0ABNLZ7gO+/dTsszlgYD27NPgSSzxDfZpt5+9rzMKx5DUaL24A==" saltValue="uClOH5dAWRlh1cOBYcTaEQ==" spinCount="100000" sheet="1" objects="1" scenarios="1" selectLockedCells="1"/>
  <mergeCells count="1">
    <mergeCell ref="E4:E5"/>
  </mergeCells>
  <phoneticPr fontId="3" type="noConversion"/>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EE324-D01F-478E-B65C-BD645990E46A}">
  <sheetPr codeName="Foglio6">
    <tabColor theme="4" tint="0.59999389629810485"/>
  </sheetPr>
  <dimension ref="A1:BA98"/>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16.125" bestFit="1" customWidth="1"/>
    <col min="4" max="4" width="9" customWidth="1"/>
    <col min="5" max="5" width="12.375" bestFit="1" customWidth="1"/>
    <col min="6" max="6" width="11" customWidth="1"/>
    <col min="7" max="10" width="9" customWidth="1"/>
    <col min="11" max="11" width="9.75" customWidth="1"/>
    <col min="12" max="17" width="9" customWidth="1"/>
    <col min="18" max="23" width="9" hidden="1" customWidth="1"/>
    <col min="24" max="24" width="12.25" hidden="1" customWidth="1"/>
    <col min="25" max="16384" width="9" hidden="1"/>
  </cols>
  <sheetData>
    <row r="1" spans="2:36" ht="15" customHeight="1"/>
    <row r="2" spans="2:36" ht="15" customHeight="1"/>
    <row r="3" spans="2:36" ht="15" customHeight="1"/>
    <row r="4" spans="2:36" ht="15" customHeight="1">
      <c r="B4" s="258"/>
    </row>
    <row r="5" spans="2:36" ht="15" customHeight="1">
      <c r="B5" s="259"/>
      <c r="C5" s="29" t="str">
        <f>traduzioni!A171</f>
        <v>cases éditables</v>
      </c>
    </row>
    <row r="6" spans="2:36" ht="15" customHeight="1"/>
    <row r="7" spans="2:36" ht="15" customHeight="1"/>
    <row r="8" spans="2:36" ht="15" customHeight="1">
      <c r="B8" s="117"/>
      <c r="C8" s="118"/>
      <c r="D8" s="118"/>
      <c r="E8" s="118"/>
      <c r="F8" s="118"/>
      <c r="G8" s="118"/>
      <c r="H8" s="118"/>
      <c r="I8" s="118"/>
      <c r="J8" s="118"/>
      <c r="K8" s="118"/>
      <c r="L8" s="118"/>
      <c r="M8" s="118"/>
      <c r="N8" s="118"/>
      <c r="O8" s="118"/>
      <c r="P8" s="119"/>
      <c r="AD8" t="s">
        <v>176</v>
      </c>
      <c r="AI8" t="s">
        <v>239</v>
      </c>
      <c r="AJ8" t="s">
        <v>220</v>
      </c>
    </row>
    <row r="9" spans="2:36" ht="15" customHeight="1">
      <c r="B9" s="120"/>
      <c r="C9" s="106" t="s">
        <v>18</v>
      </c>
      <c r="D9" s="106"/>
      <c r="E9" s="106"/>
      <c r="F9" s="106" t="s">
        <v>21</v>
      </c>
      <c r="G9" s="106" t="s">
        <v>94</v>
      </c>
      <c r="H9" s="106" t="s">
        <v>175</v>
      </c>
      <c r="I9" s="106" t="s">
        <v>130</v>
      </c>
      <c r="J9" s="106" t="s">
        <v>213</v>
      </c>
      <c r="K9" s="106" t="s">
        <v>216</v>
      </c>
      <c r="M9" s="68" t="str">
        <f>traduzioni!A172</f>
        <v>coeff. connexion bois</v>
      </c>
      <c r="N9" s="68"/>
      <c r="O9" s="68"/>
      <c r="P9" s="121"/>
      <c r="AD9" t="s">
        <v>77</v>
      </c>
      <c r="AE9">
        <f>IF('CALCOLI STS (slab to slab)'!L2="NTC 2018 (ITA)",1.4,1.35)</f>
        <v>1.35</v>
      </c>
      <c r="AF9" t="s">
        <v>376</v>
      </c>
      <c r="AH9" s="4">
        <f>((20*F11^-0.5))</f>
        <v>6.6666666666666661</v>
      </c>
      <c r="AI9" s="4">
        <f>2.3*(I11*1000/(20*F11^-0.5*F11))^0.5</f>
        <v>48.970739562858689</v>
      </c>
    </row>
    <row r="10" spans="2:36" ht="15" customHeight="1">
      <c r="B10" s="120"/>
      <c r="C10" s="106"/>
      <c r="D10" s="106"/>
      <c r="E10" s="106"/>
      <c r="F10" s="106" t="s">
        <v>35</v>
      </c>
      <c r="G10" s="106" t="s">
        <v>55</v>
      </c>
      <c r="H10" s="106" t="s">
        <v>100</v>
      </c>
      <c r="I10" s="106" t="s">
        <v>132</v>
      </c>
      <c r="J10" s="106" t="s">
        <v>100</v>
      </c>
      <c r="K10" s="106" t="s">
        <v>35</v>
      </c>
      <c r="M10" t="s">
        <v>77</v>
      </c>
      <c r="N10">
        <f>IF('CALCOLI STS (slab to slab)'!L2="NTC 2018 (ITA)",1.4,1.3)</f>
        <v>1.3</v>
      </c>
      <c r="O10" t="s">
        <v>376</v>
      </c>
      <c r="P10" s="121"/>
      <c r="AD10" t="s">
        <v>78</v>
      </c>
      <c r="AE10">
        <f>VLOOKUP('CALCOLI STS (slab to slab)'!H2,CLT!W9:X14,2,FALSE)</f>
        <v>1</v>
      </c>
      <c r="AF10" t="s">
        <v>376</v>
      </c>
      <c r="AH10" s="4">
        <f>((20*F12^-0.5))</f>
        <v>6.030226891555273</v>
      </c>
      <c r="AI10" s="4">
        <f>2.3*(I12*1000/(20*F12^-0.5*F12))^0.5</f>
        <v>60.502178096441845</v>
      </c>
    </row>
    <row r="11" spans="2:36" ht="15" customHeight="1">
      <c r="B11" s="120"/>
      <c r="C11" s="106" t="s">
        <v>19</v>
      </c>
      <c r="D11" s="68"/>
      <c r="E11" t="str">
        <f>_xlfn.CONCAT(C11,"_",F11)</f>
        <v>VGS_9</v>
      </c>
      <c r="F11">
        <v>9</v>
      </c>
      <c r="G11">
        <v>25.4</v>
      </c>
      <c r="H11">
        <v>12.5</v>
      </c>
      <c r="I11">
        <v>27.2</v>
      </c>
      <c r="J11">
        <v>1000</v>
      </c>
      <c r="K11">
        <v>5.9</v>
      </c>
      <c r="M11" t="s">
        <v>78</v>
      </c>
      <c r="N11">
        <f>VLOOKUP('CALCOLI STS (slab to slab)'!H2,CLT!W9:X14,2,FALSE)</f>
        <v>1</v>
      </c>
      <c r="O11" t="s">
        <v>376</v>
      </c>
      <c r="P11" s="121"/>
      <c r="AD11" t="s">
        <v>313</v>
      </c>
      <c r="AE11">
        <f>IF('CALCOLI STS (slab to slab)'!L2="NTC 2018 (ITA)",1.4,1.3)</f>
        <v>1.3</v>
      </c>
      <c r="AF11" t="s">
        <v>376</v>
      </c>
      <c r="AH11" s="4">
        <f>((20*F13^-0.5))</f>
        <v>5.5470019622522919</v>
      </c>
      <c r="AI11" s="4">
        <f>2.3*(I13*1000/(20*F13^-0.5*F13))^0.5</f>
        <v>72.119069998238089</v>
      </c>
    </row>
    <row r="12" spans="2:36" ht="15" customHeight="1">
      <c r="B12" s="120"/>
      <c r="C12" s="106"/>
      <c r="D12" s="68"/>
      <c r="E12" t="str">
        <f>_xlfn.CONCAT(C11,"_",F12)</f>
        <v>VGS_11</v>
      </c>
      <c r="F12">
        <v>11</v>
      </c>
      <c r="G12">
        <v>38</v>
      </c>
      <c r="H12">
        <v>12.5</v>
      </c>
      <c r="I12">
        <v>45.9</v>
      </c>
      <c r="J12">
        <v>1000</v>
      </c>
      <c r="K12">
        <v>6.6</v>
      </c>
      <c r="P12" s="121"/>
      <c r="AH12" s="4">
        <f>((20*F14^-0.5))</f>
        <v>5</v>
      </c>
      <c r="AI12" s="4">
        <f>2.3*(I14*1000/(20*F14^-0.5*F14))^0.5</f>
        <v>114.99999999999999</v>
      </c>
    </row>
    <row r="13" spans="2:36" ht="15" customHeight="1">
      <c r="B13" s="120"/>
      <c r="C13" s="106"/>
      <c r="D13" s="68"/>
      <c r="E13" t="str">
        <f>_xlfn.CONCAT(C11,"_",F13)</f>
        <v>VGS_13</v>
      </c>
      <c r="F13">
        <v>13</v>
      </c>
      <c r="G13">
        <v>53</v>
      </c>
      <c r="H13">
        <v>12.5</v>
      </c>
      <c r="I13">
        <v>70.900000000000006</v>
      </c>
      <c r="J13">
        <v>1000</v>
      </c>
      <c r="K13">
        <v>8</v>
      </c>
      <c r="M13" s="68" t="str">
        <f>traduzioni!A173</f>
        <v>coeff. matériau acier</v>
      </c>
      <c r="N13" s="68"/>
      <c r="O13" s="68"/>
      <c r="P13" s="121"/>
      <c r="AD13" t="s">
        <v>385</v>
      </c>
      <c r="AI13" s="4"/>
    </row>
    <row r="14" spans="2:36" ht="15" customHeight="1">
      <c r="B14" s="120"/>
      <c r="C14" s="106" t="s">
        <v>20</v>
      </c>
      <c r="D14" s="68"/>
      <c r="E14" t="str">
        <f>_xlfn.CONCAT(C14,"_",F14)</f>
        <v>RTR_16</v>
      </c>
      <c r="F14">
        <v>16</v>
      </c>
      <c r="G14">
        <v>100</v>
      </c>
      <c r="H14">
        <v>9</v>
      </c>
      <c r="I14">
        <v>200</v>
      </c>
      <c r="J14">
        <v>650</v>
      </c>
      <c r="K14">
        <v>12</v>
      </c>
      <c r="M14" t="s">
        <v>77</v>
      </c>
      <c r="N14">
        <f>IF('CALCOLI STS (slab to slab)'!L2="NTC 2018 (ITA)",1.25,1.25)</f>
        <v>1.25</v>
      </c>
      <c r="O14" t="s">
        <v>376</v>
      </c>
      <c r="P14" s="121"/>
      <c r="AD14" t="s">
        <v>77</v>
      </c>
      <c r="AE14">
        <f>IF('CALCOLI STS (slab to slab)'!L2="NTC 2018 (ITA)",1.25,1.25)</f>
        <v>1.25</v>
      </c>
      <c r="AF14" t="s">
        <v>376</v>
      </c>
    </row>
    <row r="15" spans="2:36" ht="15" customHeight="1">
      <c r="B15" s="120"/>
      <c r="P15" s="121"/>
    </row>
    <row r="16" spans="2:36" ht="15" customHeight="1">
      <c r="B16" s="120"/>
      <c r="M16" s="68" t="str">
        <f>traduzioni!A174</f>
        <v>coeff. matériau béton</v>
      </c>
      <c r="N16" s="68"/>
      <c r="O16" s="68"/>
      <c r="P16" s="121"/>
      <c r="AD16" t="s">
        <v>23</v>
      </c>
    </row>
    <row r="17" spans="2:53" ht="15" customHeight="1">
      <c r="B17" s="120"/>
      <c r="M17" t="s">
        <v>77</v>
      </c>
      <c r="N17">
        <f>CONCRETE!H26</f>
        <v>1.5</v>
      </c>
      <c r="O17" t="s">
        <v>376</v>
      </c>
      <c r="P17" s="121"/>
      <c r="AD17" t="s">
        <v>77</v>
      </c>
      <c r="AE17">
        <f>CONCRETE!H26</f>
        <v>1.5</v>
      </c>
      <c r="AF17" t="s">
        <v>376</v>
      </c>
    </row>
    <row r="18" spans="2:53" ht="15" customHeight="1">
      <c r="B18" s="120"/>
      <c r="M18" s="1" t="s">
        <v>184</v>
      </c>
      <c r="N18">
        <f>CONCRETE!H27</f>
        <v>0.85</v>
      </c>
      <c r="O18" t="s">
        <v>376</v>
      </c>
      <c r="P18" s="121"/>
      <c r="AD18" s="1" t="s">
        <v>184</v>
      </c>
      <c r="AE18">
        <f>CONCRETE!H27</f>
        <v>0.85</v>
      </c>
      <c r="AF18" t="s">
        <v>376</v>
      </c>
      <c r="AX18" t="s">
        <v>199</v>
      </c>
      <c r="AZ18" s="30">
        <v>1.5</v>
      </c>
    </row>
    <row r="19" spans="2:53" ht="15" customHeight="1">
      <c r="B19" s="120"/>
      <c r="M19" s="1" t="s">
        <v>330</v>
      </c>
      <c r="N19">
        <f>CONCRETE!H28</f>
        <v>1</v>
      </c>
      <c r="O19" t="s">
        <v>376</v>
      </c>
      <c r="P19" s="121"/>
      <c r="AD19" s="1" t="s">
        <v>330</v>
      </c>
      <c r="AE19">
        <f>CONCRETE!H28</f>
        <v>1</v>
      </c>
      <c r="AF19" t="s">
        <v>376</v>
      </c>
    </row>
    <row r="20" spans="2:53" ht="15" customHeight="1">
      <c r="B20" s="122"/>
      <c r="C20" s="115"/>
      <c r="D20" s="115"/>
      <c r="E20" s="115"/>
      <c r="F20" s="115"/>
      <c r="G20" s="115"/>
      <c r="H20" s="115"/>
      <c r="I20" s="115"/>
      <c r="J20" s="115"/>
      <c r="K20" s="115"/>
      <c r="L20" s="115"/>
      <c r="M20" s="115"/>
      <c r="N20" s="115"/>
      <c r="O20" s="115"/>
      <c r="P20" s="123"/>
    </row>
    <row r="21" spans="2:53" ht="15" customHeight="1"/>
    <row r="22" spans="2:53" ht="15" customHeight="1">
      <c r="AL22" s="29" t="s">
        <v>196</v>
      </c>
      <c r="AM22" s="29"/>
      <c r="AN22" s="29"/>
      <c r="AO22" s="29"/>
      <c r="AR22" s="29" t="s">
        <v>197</v>
      </c>
      <c r="AS22" s="29"/>
      <c r="AT22" s="29"/>
      <c r="AU22" s="29"/>
      <c r="AX22" s="29" t="s">
        <v>198</v>
      </c>
      <c r="AY22" s="29"/>
      <c r="AZ22" s="29"/>
      <c r="BA22" s="29"/>
    </row>
    <row r="23" spans="2:53" ht="15" customHeight="1">
      <c r="C23" s="29" t="s">
        <v>675</v>
      </c>
      <c r="D23" s="29" t="str">
        <f>'CALCOLI STS (slab to slab)'!H22</f>
        <v>VGS_11</v>
      </c>
      <c r="E23" s="29">
        <f>'CALCOLI STS (slab to slab)'!H24</f>
        <v>11</v>
      </c>
    </row>
    <row r="24" spans="2:53" ht="15" customHeight="1">
      <c r="AB24" t="s">
        <v>189</v>
      </c>
      <c r="AM24" t="s">
        <v>191</v>
      </c>
      <c r="AO24" t="s">
        <v>192</v>
      </c>
      <c r="AS24" t="s">
        <v>191</v>
      </c>
      <c r="AU24" t="s">
        <v>192</v>
      </c>
      <c r="AY24" t="s">
        <v>191</v>
      </c>
      <c r="BA24" t="s">
        <v>192</v>
      </c>
    </row>
    <row r="25" spans="2:53" ht="15" customHeight="1" thickBot="1">
      <c r="B25" s="273" t="str">
        <f>traduzioni!A175</f>
        <v>Résistance axiale - Béton</v>
      </c>
      <c r="C25" s="274"/>
      <c r="D25" s="274"/>
      <c r="E25" s="274"/>
      <c r="F25" s="275"/>
      <c r="G25" s="279" t="str">
        <f>traduzioni!A176</f>
        <v>Résistance axiale - Bois</v>
      </c>
      <c r="H25" s="280"/>
      <c r="I25" s="280"/>
      <c r="J25" s="280"/>
      <c r="K25" s="281"/>
      <c r="AB25" t="s">
        <v>195</v>
      </c>
      <c r="AF25" t="s">
        <v>183</v>
      </c>
      <c r="AL25" t="s">
        <v>193</v>
      </c>
      <c r="AM25" t="s">
        <v>190</v>
      </c>
      <c r="AN25" t="s">
        <v>193</v>
      </c>
      <c r="AR25" t="s">
        <v>193</v>
      </c>
      <c r="AS25" t="s">
        <v>190</v>
      </c>
      <c r="AT25" t="s">
        <v>193</v>
      </c>
      <c r="AX25" t="s">
        <v>193</v>
      </c>
      <c r="AY25" t="s">
        <v>190</v>
      </c>
      <c r="AZ25" t="s">
        <v>193</v>
      </c>
    </row>
    <row r="26" spans="2:53" ht="15" customHeight="1">
      <c r="B26" s="276"/>
      <c r="C26" s="277"/>
      <c r="D26" s="277"/>
      <c r="E26" s="277"/>
      <c r="F26" s="278"/>
      <c r="G26" s="282"/>
      <c r="H26" s="283"/>
      <c r="I26" s="283"/>
      <c r="J26" s="283"/>
      <c r="K26" s="284"/>
      <c r="AB26" s="19" t="s">
        <v>180</v>
      </c>
      <c r="AC26" s="20" t="s">
        <v>179</v>
      </c>
      <c r="AD26" s="20" t="s">
        <v>306</v>
      </c>
      <c r="AE26" s="21" t="s">
        <v>305</v>
      </c>
      <c r="AF26" s="19" t="s">
        <v>180</v>
      </c>
      <c r="AG26" s="20" t="s">
        <v>179</v>
      </c>
      <c r="AH26" s="20"/>
      <c r="AI26" s="19" t="s">
        <v>180</v>
      </c>
      <c r="AJ26" s="21" t="s">
        <v>179</v>
      </c>
    </row>
    <row r="27" spans="2:53" ht="15" customHeight="1">
      <c r="B27" s="120"/>
      <c r="F27" s="121"/>
      <c r="G27" s="120"/>
      <c r="K27" s="121"/>
      <c r="Y27" t="s">
        <v>21</v>
      </c>
      <c r="Z27" t="s">
        <v>22</v>
      </c>
      <c r="AA27" s="27" t="s">
        <v>188</v>
      </c>
      <c r="AB27" s="22" t="s">
        <v>186</v>
      </c>
      <c r="AC27" t="s">
        <v>185</v>
      </c>
      <c r="AD27" s="27" t="s">
        <v>194</v>
      </c>
      <c r="AE27" s="28" t="s">
        <v>187</v>
      </c>
      <c r="AF27" s="22"/>
      <c r="AG27" t="s">
        <v>178</v>
      </c>
      <c r="AI27" s="27" t="s">
        <v>181</v>
      </c>
      <c r="AJ27" s="28" t="s">
        <v>182</v>
      </c>
      <c r="AK27" s="27"/>
    </row>
    <row r="28" spans="2:53" ht="15" customHeight="1">
      <c r="B28" s="120"/>
      <c r="C28" s="68" t="s">
        <v>88</v>
      </c>
      <c r="D28">
        <f>'CALCOLI STS (slab to slab)'!H54</f>
        <v>160</v>
      </c>
      <c r="E28" t="s">
        <v>35</v>
      </c>
      <c r="F28" s="121"/>
      <c r="G28" s="120"/>
      <c r="K28" s="121"/>
      <c r="W28" t="str">
        <f t="shared" ref="W28:W38" si="0">$E$11</f>
        <v>VGS_9</v>
      </c>
      <c r="X28" t="str">
        <f>_xlfn.CONCAT(W28,"_",Z28)</f>
        <v>VGS_9_300</v>
      </c>
      <c r="Y28" t="str">
        <f t="shared" ref="Y28:Y38" si="1">IF(MID(W28,5,1)&lt;=9,MID(W28,5,1),MID(W28,5,2))</f>
        <v>9</v>
      </c>
      <c r="Z28">
        <v>300</v>
      </c>
      <c r="AA28">
        <f t="shared" ref="AA28:AA38" si="2">$G$11/$AE$14</f>
        <v>20.32</v>
      </c>
      <c r="AB28" s="22">
        <f>Z28-AF28-25</f>
        <v>125</v>
      </c>
      <c r="AC28" s="4">
        <f>Z28-AG28</f>
        <v>200</v>
      </c>
      <c r="AD28" s="4">
        <f t="shared" ref="AD28" si="3">((20*(Y28^0.8)*AB28^0.9)/1000)*$AE$10/$AE$9</f>
        <v>6.6268821362511883</v>
      </c>
      <c r="AE28" s="25">
        <f t="shared" ref="AE28" si="4">((20*(Y28^0.8)*AC28^0.9)/1000)*$AE$10/$AE$9</f>
        <v>10.116195899005666</v>
      </c>
      <c r="AF28" s="39">
        <f>MAX(14*Y28,150)</f>
        <v>150</v>
      </c>
      <c r="AG28" s="15">
        <f>MAX(9*Y28,100)</f>
        <v>100</v>
      </c>
      <c r="AH28" s="42">
        <f t="shared" ref="AH28" si="5">VLOOKUP(W28,$E$11:$I$14,4,FALSE)</f>
        <v>12.5</v>
      </c>
      <c r="AI28" s="4">
        <f t="shared" ref="AI28" si="6">((Y28*PI())*AF28)*(AH28*$AE$18/$AE$17)/1000</f>
        <v>30.041479749952398</v>
      </c>
      <c r="AJ28" s="25">
        <f t="shared" ref="AJ28" si="7">((Y28*PI())*AG28)*(AH28*$AE$18/$AE$17)/1000</f>
        <v>20.027653166634931</v>
      </c>
      <c r="AK28" s="4"/>
      <c r="AL28" s="4" t="e">
        <f>MIN(#REF!,#REF!,#REF!)</f>
        <v>#REF!</v>
      </c>
      <c r="AM28" t="e">
        <f>IF(AL28=AA28,"ACCIAIO",IF(AL28=AD28,"LEGNO",IF(AL28=AI28," CALCESTRUZZO")))</f>
        <v>#REF!</v>
      </c>
      <c r="AN28" s="4" t="e">
        <f>MIN(#REF!,#REF!,#REF!)</f>
        <v>#REF!</v>
      </c>
      <c r="AO28" t="e">
        <f>IF(AN28=AA28,"ACCIAIO",IF(AN28=AE28,"LEGNO",IF(AN28=AJ28,"CALCESTRUZZO")))</f>
        <v>#REF!</v>
      </c>
      <c r="AR28" s="4">
        <f t="shared" ref="AR28" si="8">MIN(AA28*$AE$14,AD28*$AE$9/$AE$10,AI28*$AE$17/$AE$18)</f>
        <v>8.9462908839391044</v>
      </c>
      <c r="AS28" t="str">
        <f t="shared" ref="AS28" si="9">IF(AR28=AA28*$AE$14,"ACCIAIO",IF(AR28=AD28*$AE$9/$AE$10,"LEGNO",IF(AR28=AI28*$AE$17/$AE$18," CALCESTRUZZO")))</f>
        <v>LEGNO</v>
      </c>
      <c r="AT28" s="4">
        <f t="shared" ref="AT28" si="10">MIN(AA28*$AE$14,AE28*$AE$9/$AE$10,AJ28*$AE$17/$AE$18)</f>
        <v>13.65686446365765</v>
      </c>
      <c r="AU28" t="str">
        <f t="shared" ref="AU28" si="11">IF(AT28=AA28*$AE$14,"ACCIAIO",IF(AT28=AE28*$AE$9/$AE$10,"LEGNO",IF(AT28=AJ28*$AE$17/$AE$18," CALCESTRUZZO")))</f>
        <v>LEGNO</v>
      </c>
      <c r="AX28" s="4">
        <f t="shared" ref="AX28" si="12">MIN(AA28*$AE$14,$AZ$18*AD28*$AE$9/$AE$10,AI28*$AE$17/$AE$18)</f>
        <v>13.419436325908656</v>
      </c>
      <c r="AY28" t="str">
        <f t="shared" ref="AY28" si="13">IF(AX28=AA28*$AE$14,"ACCIAIO",IF(AX28=$AZ$18*AD28*$AE$9/$AE$10,"LEGNO",IF(AX28=AI28*$AE$17/$AE$18," CALCESTRUZZO")))</f>
        <v>LEGNO</v>
      </c>
      <c r="AZ28" s="4">
        <f t="shared" ref="AZ28" si="14">MIN(AA28*$AE$14,$AZ$18*AE28*$AE$9/$AE$10,AJ28*$AE$17/$AE$18)</f>
        <v>20.485296695486472</v>
      </c>
      <c r="BA28" t="str">
        <f t="shared" ref="BA28" si="15">IF(AZ28=AA28*$AE$14,"ACCIAIO",IF(AZ28=$AZ$18*AE28*$AE$9/$AE$10,"LEGNO",IF(AZ28=AJ28*$AE$17/$AE$18," CALCESTRUZZO")))</f>
        <v>LEGNO</v>
      </c>
    </row>
    <row r="29" spans="2:53" ht="15" customHeight="1">
      <c r="B29" s="120"/>
      <c r="C29" s="68" t="s">
        <v>175</v>
      </c>
      <c r="D29" s="4">
        <f>VLOOKUP(D23,E11:I14,4,FALSE)*D34</f>
        <v>12.5</v>
      </c>
      <c r="E29" t="s">
        <v>100</v>
      </c>
      <c r="F29" s="192" t="s">
        <v>667</v>
      </c>
      <c r="G29" s="120"/>
      <c r="H29" s="68" t="s">
        <v>387</v>
      </c>
      <c r="I29">
        <f>CLT!N14</f>
        <v>380</v>
      </c>
      <c r="J29" t="s">
        <v>91</v>
      </c>
      <c r="K29" s="121"/>
      <c r="W29" t="str">
        <f t="shared" si="0"/>
        <v>VGS_9</v>
      </c>
      <c r="X29" t="str">
        <f t="shared" ref="X29:X72" si="16">_xlfn.CONCAT(W29,"_",Z29)</f>
        <v>VGS_9_320</v>
      </c>
      <c r="Y29" t="str">
        <f t="shared" si="1"/>
        <v>9</v>
      </c>
      <c r="Z29">
        <f t="shared" ref="Z29:Z33" si="17">Z28+20</f>
        <v>320</v>
      </c>
      <c r="AA29">
        <f t="shared" si="2"/>
        <v>20.32</v>
      </c>
      <c r="AB29" s="22">
        <f t="shared" ref="AB29:AB35" si="18">Z29-AF29-25</f>
        <v>145</v>
      </c>
      <c r="AC29" s="4">
        <f t="shared" ref="AC29:AC35" si="19">Z29-AG29</f>
        <v>220</v>
      </c>
      <c r="AD29" s="4">
        <f t="shared" ref="AD29:AD38" si="20">((20*(Y29^0.8)*AB29^0.9)/1000)*$AE$10/$AE$9</f>
        <v>7.5739326120693402</v>
      </c>
      <c r="AE29" s="25">
        <f t="shared" ref="AE29:AE38" si="21">((20*(Y29^0.8)*AC29^0.9)/1000)*$AE$10/$AE$9</f>
        <v>11.022259904542036</v>
      </c>
      <c r="AF29" s="39">
        <f t="shared" ref="AF29:AF52" si="22">MAX(14*Y29,150)</f>
        <v>150</v>
      </c>
      <c r="AG29" s="15">
        <f t="shared" ref="AG29:AG38" si="23">MAX(9*Y29,100)</f>
        <v>100</v>
      </c>
      <c r="AH29" s="42">
        <f t="shared" ref="AH29:AH38" si="24">VLOOKUP(W29,$E$11:$I$14,4,FALSE)</f>
        <v>12.5</v>
      </c>
      <c r="AI29" s="4">
        <f t="shared" ref="AI29:AI38" si="25">((Y29*PI())*AF29)*(AH29*$AE$18/$AE$17)/1000</f>
        <v>30.041479749952398</v>
      </c>
      <c r="AJ29" s="25">
        <f t="shared" ref="AJ29:AJ38" si="26">((Y29*PI())*AG29)*(AH29*$AE$18/$AE$17)/1000</f>
        <v>20.027653166634931</v>
      </c>
      <c r="AK29" s="4"/>
      <c r="AL29" s="4">
        <f t="shared" ref="AL29:AL95" si="27">MIN(AA29,AD29,AI29)</f>
        <v>7.5739326120693402</v>
      </c>
      <c r="AM29" t="str">
        <f t="shared" ref="AM29:AM98" si="28">IF(AL29=AA29,"ACCIAIO",IF(AL29=AD29,"LEGNO",IF(AL29=AI29," CALCESTRUZZO")))</f>
        <v>LEGNO</v>
      </c>
      <c r="AN29" s="4">
        <f t="shared" ref="AN29:AN98" si="29">MIN(AA29,AE29,AJ29)</f>
        <v>11.022259904542036</v>
      </c>
      <c r="AO29" t="str">
        <f t="shared" ref="AO29:AO98" si="30">IF(AN29=AA29,"ACCIAIO",IF(AN29=AE29,"LEGNO",IF(AN29=AJ29,"CALCESTRUZZO")))</f>
        <v>LEGNO</v>
      </c>
      <c r="AR29" s="4">
        <f t="shared" ref="AR29:AR38" si="31">MIN(AA29*$AE$14,AD29*$AE$9/$AE$10,AI29*$AE$17/$AE$18)</f>
        <v>10.22480902629361</v>
      </c>
      <c r="AS29" t="str">
        <f t="shared" ref="AS29:AS38" si="32">IF(AR29=AA29*$AE$14,"ACCIAIO",IF(AR29=AD29*$AE$9/$AE$10,"LEGNO",IF(AR29=AI29*$AE$17/$AE$18," CALCESTRUZZO")))</f>
        <v>LEGNO</v>
      </c>
      <c r="AT29" s="4">
        <f t="shared" ref="AT29:AT38" si="33">MIN(AA29*$AE$14,AE29*$AE$9/$AE$10,AJ29*$AE$17/$AE$18)</f>
        <v>14.880050871131749</v>
      </c>
      <c r="AU29" t="str">
        <f t="shared" ref="AU29:AU38" si="34">IF(AT29=AA29*$AE$14,"ACCIAIO",IF(AT29=AE29*$AE$9/$AE$10,"LEGNO",IF(AT29=AJ29*$AE$17/$AE$18," CALCESTRUZZO")))</f>
        <v>LEGNO</v>
      </c>
      <c r="AX29" s="4">
        <f t="shared" ref="AX29:AX38" si="35">MIN(AA29*$AE$14,$AZ$18*AD29*$AE$9/$AE$10,AI29*$AE$17/$AE$18)</f>
        <v>15.337213539440414</v>
      </c>
      <c r="AY29" t="str">
        <f t="shared" ref="AY29:AY38" si="36">IF(AX29=AA29*$AE$14,"ACCIAIO",IF(AX29=$AZ$18*AD29*$AE$9/$AE$10,"LEGNO",IF(AX29=AI29*$AE$17/$AE$18," CALCESTRUZZO")))</f>
        <v>LEGNO</v>
      </c>
      <c r="AZ29" s="4">
        <f t="shared" ref="AZ29:AZ38" si="37">MIN(AA29*$AE$14,$AZ$18*AE29*$AE$9/$AE$10,AJ29*$AE$17/$AE$18)</f>
        <v>22.320076306697622</v>
      </c>
      <c r="BA29" t="str">
        <f t="shared" ref="BA29:BA38" si="38">IF(AZ29=AA29*$AE$14,"ACCIAIO",IF(AZ29=$AZ$18*AE29*$AE$9/$AE$10,"LEGNO",IF(AZ29=AJ29*$AE$17/$AE$18," CALCESTRUZZO")))</f>
        <v>LEGNO</v>
      </c>
    </row>
    <row r="30" spans="2:53" ht="15" customHeight="1">
      <c r="B30" s="120"/>
      <c r="C30" s="68" t="s">
        <v>99</v>
      </c>
      <c r="D30" s="4">
        <f>D29*AE19/AE17</f>
        <v>8.3333333333333339</v>
      </c>
      <c r="E30" t="s">
        <v>100</v>
      </c>
      <c r="F30" s="121"/>
      <c r="G30" s="120"/>
      <c r="H30" s="68" t="s">
        <v>88</v>
      </c>
      <c r="I30">
        <f>'CALCOLI STS (slab to slab)'!H59</f>
        <v>260</v>
      </c>
      <c r="J30" t="s">
        <v>35</v>
      </c>
      <c r="K30" s="121"/>
      <c r="W30" t="str">
        <f t="shared" si="0"/>
        <v>VGS_9</v>
      </c>
      <c r="X30" t="str">
        <f t="shared" si="16"/>
        <v>VGS_9_340</v>
      </c>
      <c r="Y30" t="str">
        <f t="shared" si="1"/>
        <v>9</v>
      </c>
      <c r="Z30">
        <f t="shared" si="17"/>
        <v>340</v>
      </c>
      <c r="AA30">
        <f t="shared" si="2"/>
        <v>20.32</v>
      </c>
      <c r="AB30" s="22">
        <f t="shared" si="18"/>
        <v>165</v>
      </c>
      <c r="AC30" s="4">
        <f t="shared" si="19"/>
        <v>240</v>
      </c>
      <c r="AD30" s="4">
        <f t="shared" si="20"/>
        <v>8.5079667606959326</v>
      </c>
      <c r="AE30" s="25">
        <f t="shared" si="21"/>
        <v>11.920112446194445</v>
      </c>
      <c r="AF30" s="39">
        <f t="shared" si="22"/>
        <v>150</v>
      </c>
      <c r="AG30" s="15">
        <f t="shared" si="23"/>
        <v>100</v>
      </c>
      <c r="AH30" s="42">
        <f t="shared" si="24"/>
        <v>12.5</v>
      </c>
      <c r="AI30" s="4">
        <f t="shared" si="25"/>
        <v>30.041479749952398</v>
      </c>
      <c r="AJ30" s="25">
        <f t="shared" si="26"/>
        <v>20.027653166634931</v>
      </c>
      <c r="AK30" s="4"/>
      <c r="AL30" s="4">
        <f t="shared" si="27"/>
        <v>8.5079667606959326</v>
      </c>
      <c r="AM30" t="str">
        <f t="shared" si="28"/>
        <v>LEGNO</v>
      </c>
      <c r="AN30" s="4">
        <f t="shared" si="29"/>
        <v>11.920112446194445</v>
      </c>
      <c r="AO30" t="str">
        <f t="shared" si="30"/>
        <v>LEGNO</v>
      </c>
      <c r="AR30" s="4">
        <f t="shared" si="31"/>
        <v>11.485755126939511</v>
      </c>
      <c r="AS30" t="str">
        <f t="shared" si="32"/>
        <v>LEGNO</v>
      </c>
      <c r="AT30" s="4">
        <f t="shared" si="33"/>
        <v>16.092151802362501</v>
      </c>
      <c r="AU30" t="str">
        <f t="shared" si="34"/>
        <v>LEGNO</v>
      </c>
      <c r="AX30" s="4">
        <f t="shared" si="35"/>
        <v>17.228632690409263</v>
      </c>
      <c r="AY30" t="str">
        <f t="shared" si="36"/>
        <v>LEGNO</v>
      </c>
      <c r="AZ30" s="4">
        <f t="shared" si="37"/>
        <v>24.138227703543752</v>
      </c>
      <c r="BA30" t="str">
        <f t="shared" si="38"/>
        <v>LEGNO</v>
      </c>
    </row>
    <row r="31" spans="2:53" ht="15" customHeight="1">
      <c r="B31" s="120"/>
      <c r="C31" s="68" t="s">
        <v>177</v>
      </c>
      <c r="D31" s="4">
        <f>((E23*PI())*D28)*D29/1000</f>
        <v>69.115038378975441</v>
      </c>
      <c r="E31" t="s">
        <v>55</v>
      </c>
      <c r="F31" s="192" t="s">
        <v>651</v>
      </c>
      <c r="G31" s="120"/>
      <c r="H31" s="68" t="s">
        <v>92</v>
      </c>
      <c r="I31">
        <f>VLOOKUP(D23,E11:G14,3,FALSE)/AE14</f>
        <v>30.4</v>
      </c>
      <c r="J31" t="s">
        <v>55</v>
      </c>
      <c r="K31" s="121"/>
      <c r="W31" t="str">
        <f t="shared" si="0"/>
        <v>VGS_9</v>
      </c>
      <c r="X31" t="str">
        <f t="shared" si="16"/>
        <v>VGS_9_360</v>
      </c>
      <c r="Y31" t="str">
        <f t="shared" si="1"/>
        <v>9</v>
      </c>
      <c r="Z31">
        <f t="shared" si="17"/>
        <v>360</v>
      </c>
      <c r="AA31">
        <f t="shared" si="2"/>
        <v>20.32</v>
      </c>
      <c r="AB31" s="22">
        <f t="shared" si="18"/>
        <v>185</v>
      </c>
      <c r="AC31" s="4">
        <f t="shared" si="19"/>
        <v>260</v>
      </c>
      <c r="AD31" s="4">
        <f t="shared" si="20"/>
        <v>9.4307186868894615</v>
      </c>
      <c r="AE31" s="25">
        <f t="shared" si="21"/>
        <v>12.810504928857574</v>
      </c>
      <c r="AF31" s="39">
        <f t="shared" si="22"/>
        <v>150</v>
      </c>
      <c r="AG31" s="15">
        <f t="shared" si="23"/>
        <v>100</v>
      </c>
      <c r="AH31" s="42">
        <f t="shared" si="24"/>
        <v>12.5</v>
      </c>
      <c r="AI31" s="4">
        <f t="shared" si="25"/>
        <v>30.041479749952398</v>
      </c>
      <c r="AJ31" s="25">
        <f t="shared" si="26"/>
        <v>20.027653166634931</v>
      </c>
      <c r="AK31" s="4"/>
      <c r="AL31" s="4">
        <f t="shared" si="27"/>
        <v>9.4307186868894615</v>
      </c>
      <c r="AM31" t="str">
        <f t="shared" si="28"/>
        <v>LEGNO</v>
      </c>
      <c r="AN31" s="4">
        <f t="shared" si="29"/>
        <v>12.810504928857574</v>
      </c>
      <c r="AO31" t="str">
        <f t="shared" si="30"/>
        <v>LEGNO</v>
      </c>
      <c r="AR31" s="4">
        <f t="shared" si="31"/>
        <v>12.731470227300774</v>
      </c>
      <c r="AS31" t="str">
        <f t="shared" si="32"/>
        <v>LEGNO</v>
      </c>
      <c r="AT31" s="4">
        <f t="shared" si="33"/>
        <v>17.294181653957725</v>
      </c>
      <c r="AU31" t="str">
        <f t="shared" si="34"/>
        <v>LEGNO</v>
      </c>
      <c r="AX31" s="4">
        <f t="shared" si="35"/>
        <v>19.09720534095116</v>
      </c>
      <c r="AY31" t="str">
        <f t="shared" si="36"/>
        <v>LEGNO</v>
      </c>
      <c r="AZ31" s="4">
        <f t="shared" si="37"/>
        <v>25.4</v>
      </c>
      <c r="BA31" t="str">
        <f t="shared" si="38"/>
        <v>ACCIAIO</v>
      </c>
    </row>
    <row r="32" spans="2:53" ht="15" customHeight="1">
      <c r="B32" s="120"/>
      <c r="C32" s="68" t="s">
        <v>174</v>
      </c>
      <c r="D32" s="4">
        <f>((E23*PI())*D28)*D30/1000</f>
        <v>46.076692252650297</v>
      </c>
      <c r="E32" t="s">
        <v>55</v>
      </c>
      <c r="G32" s="120"/>
      <c r="H32" s="68" t="s">
        <v>93</v>
      </c>
      <c r="I32" s="4">
        <f>IF(D23=W84,(((15*(E23^0.8)*I30^0.9)/1000)*AE10/AE11),(((20*(E23^0.8)*I30^0.9)/1000)*AE10/AE11))</f>
        <v>15.619848046965735</v>
      </c>
      <c r="J32" t="s">
        <v>55</v>
      </c>
      <c r="K32" s="191" t="s">
        <v>668</v>
      </c>
      <c r="W32" t="str">
        <f t="shared" si="0"/>
        <v>VGS_9</v>
      </c>
      <c r="X32" t="str">
        <f t="shared" si="16"/>
        <v>VGS_9_380</v>
      </c>
      <c r="Y32" t="str">
        <f>IF(MID(W32,5,1)&lt;=9,MID(W32,5,1),MID(W32,5,2))</f>
        <v>9</v>
      </c>
      <c r="Z32">
        <f t="shared" si="17"/>
        <v>380</v>
      </c>
      <c r="AA32">
        <f t="shared" si="2"/>
        <v>20.32</v>
      </c>
      <c r="AB32" s="22">
        <f t="shared" si="18"/>
        <v>205</v>
      </c>
      <c r="AC32" s="4">
        <f t="shared" si="19"/>
        <v>280</v>
      </c>
      <c r="AD32" s="4">
        <f t="shared" si="20"/>
        <v>10.343528363096002</v>
      </c>
      <c r="AE32" s="25">
        <f t="shared" si="21"/>
        <v>13.694067458781339</v>
      </c>
      <c r="AF32" s="39">
        <f t="shared" si="22"/>
        <v>150</v>
      </c>
      <c r="AG32" s="15">
        <f t="shared" si="23"/>
        <v>100</v>
      </c>
      <c r="AH32" s="42">
        <f t="shared" si="24"/>
        <v>12.5</v>
      </c>
      <c r="AI32" s="4">
        <f t="shared" si="25"/>
        <v>30.041479749952398</v>
      </c>
      <c r="AJ32" s="25">
        <f t="shared" si="26"/>
        <v>20.027653166634931</v>
      </c>
      <c r="AK32" s="4"/>
      <c r="AL32" s="4">
        <f t="shared" si="27"/>
        <v>10.343528363096002</v>
      </c>
      <c r="AM32" t="str">
        <f t="shared" si="28"/>
        <v>LEGNO</v>
      </c>
      <c r="AN32" s="4">
        <f t="shared" si="29"/>
        <v>13.694067458781339</v>
      </c>
      <c r="AO32" t="str">
        <f t="shared" si="30"/>
        <v>LEGNO</v>
      </c>
      <c r="AR32" s="4">
        <f t="shared" si="31"/>
        <v>13.963763290179603</v>
      </c>
      <c r="AS32" t="str">
        <f t="shared" si="32"/>
        <v>LEGNO</v>
      </c>
      <c r="AT32" s="4">
        <f t="shared" si="33"/>
        <v>18.486991069354808</v>
      </c>
      <c r="AU32" t="str">
        <f t="shared" si="34"/>
        <v>LEGNO</v>
      </c>
      <c r="AX32" s="4">
        <f t="shared" si="35"/>
        <v>20.945644935269407</v>
      </c>
      <c r="AY32" t="str">
        <f t="shared" si="36"/>
        <v>LEGNO</v>
      </c>
      <c r="AZ32" s="4">
        <f t="shared" si="37"/>
        <v>25.4</v>
      </c>
      <c r="BA32" t="str">
        <f t="shared" si="38"/>
        <v>ACCIAIO</v>
      </c>
    </row>
    <row r="33" spans="2:53" ht="15" customHeight="1">
      <c r="B33" s="120"/>
      <c r="F33" s="121"/>
      <c r="G33" s="120"/>
      <c r="H33" s="68"/>
      <c r="K33" s="121"/>
      <c r="W33" t="str">
        <f t="shared" si="0"/>
        <v>VGS_9</v>
      </c>
      <c r="X33" t="str">
        <f t="shared" si="16"/>
        <v>VGS_9_400</v>
      </c>
      <c r="Y33" t="str">
        <f t="shared" si="1"/>
        <v>9</v>
      </c>
      <c r="Z33">
        <f t="shared" si="17"/>
        <v>400</v>
      </c>
      <c r="AA33">
        <f t="shared" si="2"/>
        <v>20.32</v>
      </c>
      <c r="AB33" s="22">
        <f t="shared" si="18"/>
        <v>225</v>
      </c>
      <c r="AC33" s="4">
        <f t="shared" si="19"/>
        <v>300</v>
      </c>
      <c r="AD33" s="4">
        <f t="shared" si="20"/>
        <v>11.247461131420955</v>
      </c>
      <c r="AE33" s="25">
        <f t="shared" si="21"/>
        <v>14.571335707312436</v>
      </c>
      <c r="AF33" s="39">
        <f t="shared" si="22"/>
        <v>150</v>
      </c>
      <c r="AG33" s="15">
        <f t="shared" si="23"/>
        <v>100</v>
      </c>
      <c r="AH33" s="42">
        <f t="shared" si="24"/>
        <v>12.5</v>
      </c>
      <c r="AI33" s="4">
        <f t="shared" si="25"/>
        <v>30.041479749952398</v>
      </c>
      <c r="AJ33" s="25">
        <f t="shared" si="26"/>
        <v>20.027653166634931</v>
      </c>
      <c r="AK33" s="4"/>
      <c r="AL33" s="4">
        <f t="shared" si="27"/>
        <v>11.247461131420955</v>
      </c>
      <c r="AM33" t="str">
        <f t="shared" si="28"/>
        <v>LEGNO</v>
      </c>
      <c r="AN33" s="4">
        <f t="shared" si="29"/>
        <v>14.571335707312436</v>
      </c>
      <c r="AO33" t="str">
        <f t="shared" si="30"/>
        <v>LEGNO</v>
      </c>
      <c r="AR33" s="4">
        <f t="shared" si="31"/>
        <v>15.184072527418291</v>
      </c>
      <c r="AS33" t="str">
        <f t="shared" si="32"/>
        <v>LEGNO</v>
      </c>
      <c r="AT33" s="4">
        <f t="shared" si="33"/>
        <v>19.671303204871791</v>
      </c>
      <c r="AU33" t="str">
        <f t="shared" si="34"/>
        <v>LEGNO</v>
      </c>
      <c r="AX33" s="4">
        <f t="shared" si="35"/>
        <v>22.776108791127434</v>
      </c>
      <c r="AY33" t="str">
        <f t="shared" si="36"/>
        <v>LEGNO</v>
      </c>
      <c r="AZ33" s="4">
        <f t="shared" si="37"/>
        <v>25.4</v>
      </c>
      <c r="BA33" t="str">
        <f t="shared" si="38"/>
        <v>ACCIAIO</v>
      </c>
    </row>
    <row r="34" spans="2:53" ht="15" customHeight="1">
      <c r="B34" s="120"/>
      <c r="C34" s="68" t="s">
        <v>652</v>
      </c>
      <c r="D34" s="184">
        <v>1</v>
      </c>
      <c r="E34" s="154" t="s">
        <v>102</v>
      </c>
      <c r="F34" s="192" t="s">
        <v>667</v>
      </c>
      <c r="G34" s="120"/>
      <c r="H34" s="68" t="s">
        <v>95</v>
      </c>
      <c r="I34" s="4">
        <f>MIN(I32,I31,D32)</f>
        <v>15.619848046965735</v>
      </c>
      <c r="J34" t="s">
        <v>55</v>
      </c>
      <c r="K34" s="121"/>
      <c r="W34" t="str">
        <f t="shared" si="0"/>
        <v>VGS_9</v>
      </c>
      <c r="X34" t="str">
        <f t="shared" si="16"/>
        <v>VGS_9_440</v>
      </c>
      <c r="Y34" t="str">
        <f t="shared" si="1"/>
        <v>9</v>
      </c>
      <c r="Z34">
        <f>Z33+40</f>
        <v>440</v>
      </c>
      <c r="AA34">
        <f t="shared" si="2"/>
        <v>20.32</v>
      </c>
      <c r="AB34" s="22">
        <f t="shared" si="18"/>
        <v>265</v>
      </c>
      <c r="AC34" s="4">
        <f t="shared" si="19"/>
        <v>340</v>
      </c>
      <c r="AD34" s="4">
        <f t="shared" si="20"/>
        <v>13.032013502180016</v>
      </c>
      <c r="AE34" s="25">
        <f t="shared" si="21"/>
        <v>16.308771955536677</v>
      </c>
      <c r="AF34" s="39">
        <f t="shared" si="22"/>
        <v>150</v>
      </c>
      <c r="AG34" s="15">
        <f t="shared" si="23"/>
        <v>100</v>
      </c>
      <c r="AH34" s="42">
        <f t="shared" si="24"/>
        <v>12.5</v>
      </c>
      <c r="AI34" s="4">
        <f t="shared" si="25"/>
        <v>30.041479749952398</v>
      </c>
      <c r="AJ34" s="25">
        <f t="shared" si="26"/>
        <v>20.027653166634931</v>
      </c>
      <c r="AK34" s="4"/>
      <c r="AL34" s="4">
        <f t="shared" si="27"/>
        <v>13.032013502180016</v>
      </c>
      <c r="AM34" t="str">
        <f t="shared" si="28"/>
        <v>LEGNO</v>
      </c>
      <c r="AN34" s="4">
        <f t="shared" si="29"/>
        <v>16.308771955536677</v>
      </c>
      <c r="AO34" t="str">
        <f t="shared" si="30"/>
        <v>LEGNO</v>
      </c>
      <c r="AR34" s="4">
        <f t="shared" si="31"/>
        <v>17.593218227943023</v>
      </c>
      <c r="AS34" t="str">
        <f t="shared" si="32"/>
        <v>LEGNO</v>
      </c>
      <c r="AT34" s="4">
        <f t="shared" si="33"/>
        <v>22.016842139974518</v>
      </c>
      <c r="AU34" t="str">
        <f t="shared" si="34"/>
        <v>LEGNO</v>
      </c>
      <c r="AX34" s="4">
        <f t="shared" si="35"/>
        <v>25.4</v>
      </c>
      <c r="AY34" t="str">
        <f t="shared" si="36"/>
        <v>ACCIAIO</v>
      </c>
      <c r="AZ34" s="4">
        <f t="shared" si="37"/>
        <v>25.4</v>
      </c>
      <c r="BA34" t="str">
        <f t="shared" si="38"/>
        <v>ACCIAIO</v>
      </c>
    </row>
    <row r="35" spans="2:53" ht="15" customHeight="1">
      <c r="B35" s="122"/>
      <c r="C35" s="115"/>
      <c r="D35" s="115"/>
      <c r="E35" s="115"/>
      <c r="F35" s="123"/>
      <c r="G35" s="122"/>
      <c r="H35" s="115"/>
      <c r="I35" s="115"/>
      <c r="J35" s="115"/>
      <c r="K35" s="123"/>
      <c r="W35" t="str">
        <f t="shared" si="0"/>
        <v>VGS_9</v>
      </c>
      <c r="X35" t="str">
        <f t="shared" si="16"/>
        <v>VGS_9_480</v>
      </c>
      <c r="Y35" t="str">
        <f t="shared" si="1"/>
        <v>9</v>
      </c>
      <c r="Z35">
        <f t="shared" ref="Z35:Z38" si="39">Z34+40</f>
        <v>480</v>
      </c>
      <c r="AA35">
        <f t="shared" si="2"/>
        <v>20.32</v>
      </c>
      <c r="AB35" s="22">
        <f t="shared" si="18"/>
        <v>305</v>
      </c>
      <c r="AC35" s="4">
        <f t="shared" si="19"/>
        <v>380</v>
      </c>
      <c r="AD35" s="4">
        <f t="shared" si="20"/>
        <v>14.789724704673924</v>
      </c>
      <c r="AE35" s="25">
        <f t="shared" si="21"/>
        <v>18.025838331022811</v>
      </c>
      <c r="AF35" s="39">
        <f t="shared" si="22"/>
        <v>150</v>
      </c>
      <c r="AG35" s="15">
        <f t="shared" si="23"/>
        <v>100</v>
      </c>
      <c r="AH35" s="42">
        <f t="shared" si="24"/>
        <v>12.5</v>
      </c>
      <c r="AI35" s="4">
        <f t="shared" si="25"/>
        <v>30.041479749952398</v>
      </c>
      <c r="AJ35" s="25">
        <f t="shared" si="26"/>
        <v>20.027653166634931</v>
      </c>
      <c r="AK35" s="4"/>
      <c r="AL35" s="4">
        <f t="shared" si="27"/>
        <v>14.789724704673924</v>
      </c>
      <c r="AM35" t="str">
        <f t="shared" si="28"/>
        <v>LEGNO</v>
      </c>
      <c r="AN35" s="4">
        <f t="shared" si="29"/>
        <v>18.025838331022811</v>
      </c>
      <c r="AO35" t="str">
        <f t="shared" si="30"/>
        <v>LEGNO</v>
      </c>
      <c r="AR35" s="4">
        <f t="shared" si="31"/>
        <v>19.966128351309798</v>
      </c>
      <c r="AS35" t="str">
        <f t="shared" si="32"/>
        <v>LEGNO</v>
      </c>
      <c r="AT35" s="4">
        <f t="shared" si="33"/>
        <v>24.334881746880797</v>
      </c>
      <c r="AU35" t="str">
        <f t="shared" si="34"/>
        <v>LEGNO</v>
      </c>
      <c r="AX35" s="4">
        <f t="shared" si="35"/>
        <v>25.4</v>
      </c>
      <c r="AY35" t="str">
        <f t="shared" si="36"/>
        <v>ACCIAIO</v>
      </c>
      <c r="AZ35" s="4">
        <f t="shared" si="37"/>
        <v>25.4</v>
      </c>
      <c r="BA35" t="str">
        <f t="shared" si="38"/>
        <v>ACCIAIO</v>
      </c>
    </row>
    <row r="36" spans="2:53" ht="15" customHeight="1">
      <c r="W36" t="str">
        <f t="shared" si="0"/>
        <v>VGS_9</v>
      </c>
      <c r="X36" t="str">
        <f t="shared" si="16"/>
        <v>VGS_9_520</v>
      </c>
      <c r="Y36" t="str">
        <f t="shared" si="1"/>
        <v>9</v>
      </c>
      <c r="Z36">
        <f t="shared" si="39"/>
        <v>520</v>
      </c>
      <c r="AA36">
        <f t="shared" si="2"/>
        <v>20.32</v>
      </c>
      <c r="AB36" s="22">
        <f t="shared" ref="AB36:AB37" si="40">Z36-AF36-25</f>
        <v>345</v>
      </c>
      <c r="AC36" s="4">
        <f t="shared" ref="AC36:AC37" si="41">Z36-AG36</f>
        <v>420</v>
      </c>
      <c r="AD36" s="4">
        <f t="shared" ref="AD36:AD37" si="42">((20*(Y36^0.8)*AB36^0.9)/1000)*$AE$10/$AE$9</f>
        <v>16.524465484070348</v>
      </c>
      <c r="AE36" s="25">
        <f t="shared" ref="AE36:AE37" si="43">((20*(Y36^0.8)*AC36^0.9)/1000)*$AE$10/$AE$9</f>
        <v>19.724890278182432</v>
      </c>
      <c r="AF36" s="39">
        <f t="shared" ref="AF36:AF37" si="44">MAX(14*Y36,150)</f>
        <v>150</v>
      </c>
      <c r="AG36" s="15">
        <f t="shared" ref="AG36:AG37" si="45">MAX(9*Y36,100)</f>
        <v>100</v>
      </c>
      <c r="AH36" s="42">
        <f t="shared" ref="AH36:AH37" si="46">VLOOKUP(W36,$E$11:$I$14,4,FALSE)</f>
        <v>12.5</v>
      </c>
      <c r="AI36" s="4">
        <f t="shared" ref="AI36:AI37" si="47">((Y36*PI())*AF36)*(AH36*$AE$18/$AE$17)/1000</f>
        <v>30.041479749952398</v>
      </c>
      <c r="AJ36" s="25">
        <f t="shared" ref="AJ36:AJ37" si="48">((Y36*PI())*AG36)*(AH36*$AE$18/$AE$17)/1000</f>
        <v>20.027653166634931</v>
      </c>
      <c r="AK36" s="4"/>
      <c r="AL36" s="4">
        <f t="shared" ref="AL36:AL37" si="49">MIN(AA36,AD36,AI36)</f>
        <v>16.524465484070348</v>
      </c>
      <c r="AM36" t="str">
        <f t="shared" ref="AM36:AM37" si="50">IF(AL36=AA36,"ACCIAIO",IF(AL36=AD36,"LEGNO",IF(AL36=AI36," CALCESTRUZZO")))</f>
        <v>LEGNO</v>
      </c>
      <c r="AN36" s="4">
        <f t="shared" ref="AN36:AN37" si="51">MIN(AA36,AE36,AJ36)</f>
        <v>19.724890278182432</v>
      </c>
      <c r="AO36" t="str">
        <f t="shared" ref="AO36:AO37" si="52">IF(AN36=AA36,"ACCIAIO",IF(AN36=AE36,"LEGNO",IF(AN36=AJ36,"CALCESTRUZZO")))</f>
        <v>LEGNO</v>
      </c>
      <c r="AR36" s="4">
        <f t="shared" ref="AR36:AR37" si="53">MIN(AA36*$AE$14,AD36*$AE$9/$AE$10,AI36*$AE$17/$AE$18)</f>
        <v>22.308028403494969</v>
      </c>
      <c r="AS36" t="str">
        <f t="shared" ref="AS36:AS37" si="54">IF(AR36=AA36*$AE$14,"ACCIAIO",IF(AR36=AD36*$AE$9/$AE$10,"LEGNO",IF(AR36=AI36*$AE$17/$AE$18," CALCESTRUZZO")))</f>
        <v>LEGNO</v>
      </c>
      <c r="AT36" s="4">
        <f t="shared" ref="AT36:AT37" si="55">MIN(AA36*$AE$14,AE36*$AE$9/$AE$10,AJ36*$AE$17/$AE$18)</f>
        <v>25.4</v>
      </c>
      <c r="AU36" t="str">
        <f t="shared" ref="AU36:AU37" si="56">IF(AT36=AA36*$AE$14,"ACCIAIO",IF(AT36=AE36*$AE$9/$AE$10,"LEGNO",IF(AT36=AJ36*$AE$17/$AE$18," CALCESTRUZZO")))</f>
        <v>ACCIAIO</v>
      </c>
      <c r="AX36" s="4">
        <f t="shared" ref="AX36:AX37" si="57">MIN(AA36*$AE$14,$AZ$18*AD36*$AE$9/$AE$10,AI36*$AE$17/$AE$18)</f>
        <v>25.4</v>
      </c>
      <c r="AY36" t="str">
        <f t="shared" ref="AY36:AY37" si="58">IF(AX36=AA36*$AE$14,"ACCIAIO",IF(AX36=$AZ$18*AD36*$AE$9/$AE$10,"LEGNO",IF(AX36=AI36*$AE$17/$AE$18," CALCESTRUZZO")))</f>
        <v>ACCIAIO</v>
      </c>
      <c r="AZ36" s="4">
        <f t="shared" ref="AZ36:AZ37" si="59">MIN(AA36*$AE$14,$AZ$18*AE36*$AE$9/$AE$10,AJ36*$AE$17/$AE$18)</f>
        <v>25.4</v>
      </c>
      <c r="BA36" t="str">
        <f t="shared" ref="BA36:BA37" si="60">IF(AZ36=AA36*$AE$14,"ACCIAIO",IF(AZ36=$AZ$18*AE36*$AE$9/$AE$10,"LEGNO",IF(AZ36=AJ36*$AE$17/$AE$18," CALCESTRUZZO")))</f>
        <v>ACCIAIO</v>
      </c>
    </row>
    <row r="37" spans="2:53" ht="15" customHeight="1">
      <c r="B37" s="267" t="str">
        <f>traduzioni!A177</f>
        <v>Résistance au cisaillement - Bois</v>
      </c>
      <c r="C37" s="268"/>
      <c r="D37" s="268"/>
      <c r="E37" s="268"/>
      <c r="F37" s="269"/>
      <c r="G37" s="261" t="str">
        <f>traduzioni!A178</f>
        <v>Résistance au cisaillement - Acier</v>
      </c>
      <c r="H37" s="262"/>
      <c r="I37" s="262"/>
      <c r="J37" s="262"/>
      <c r="K37" s="263"/>
      <c r="W37" t="str">
        <f t="shared" si="0"/>
        <v>VGS_9</v>
      </c>
      <c r="X37" t="str">
        <f t="shared" si="16"/>
        <v>VGS_9_560</v>
      </c>
      <c r="Y37" t="str">
        <f t="shared" si="1"/>
        <v>9</v>
      </c>
      <c r="Z37">
        <f>Z36+40</f>
        <v>560</v>
      </c>
      <c r="AA37">
        <f t="shared" si="2"/>
        <v>20.32</v>
      </c>
      <c r="AB37" s="22">
        <f t="shared" si="40"/>
        <v>385</v>
      </c>
      <c r="AC37" s="4">
        <f t="shared" si="41"/>
        <v>460</v>
      </c>
      <c r="AD37" s="4">
        <f t="shared" si="42"/>
        <v>18.239162442138806</v>
      </c>
      <c r="AE37" s="25">
        <f t="shared" si="43"/>
        <v>21.407812050990984</v>
      </c>
      <c r="AF37" s="39">
        <f t="shared" si="44"/>
        <v>150</v>
      </c>
      <c r="AG37" s="15">
        <f t="shared" si="45"/>
        <v>100</v>
      </c>
      <c r="AH37" s="42">
        <f t="shared" si="46"/>
        <v>12.5</v>
      </c>
      <c r="AI37" s="4">
        <f t="shared" si="47"/>
        <v>30.041479749952398</v>
      </c>
      <c r="AJ37" s="25">
        <f t="shared" si="48"/>
        <v>20.027653166634931</v>
      </c>
      <c r="AK37" s="4"/>
      <c r="AL37" s="4">
        <f t="shared" si="49"/>
        <v>18.239162442138806</v>
      </c>
      <c r="AM37" t="str">
        <f t="shared" si="50"/>
        <v>LEGNO</v>
      </c>
      <c r="AN37" s="4">
        <f t="shared" si="51"/>
        <v>20.027653166634931</v>
      </c>
      <c r="AO37" t="str">
        <f t="shared" si="52"/>
        <v>CALCESTRUZZO</v>
      </c>
      <c r="AR37" s="4">
        <f t="shared" si="53"/>
        <v>24.622869296887391</v>
      </c>
      <c r="AS37" t="str">
        <f t="shared" si="54"/>
        <v>LEGNO</v>
      </c>
      <c r="AT37" s="4">
        <f t="shared" si="55"/>
        <v>25.4</v>
      </c>
      <c r="AU37" t="str">
        <f t="shared" si="56"/>
        <v>ACCIAIO</v>
      </c>
      <c r="AX37" s="4">
        <f t="shared" si="57"/>
        <v>25.4</v>
      </c>
      <c r="AY37" t="str">
        <f t="shared" si="58"/>
        <v>ACCIAIO</v>
      </c>
      <c r="AZ37" s="4">
        <f t="shared" si="59"/>
        <v>25.4</v>
      </c>
      <c r="BA37" t="str">
        <f t="shared" si="60"/>
        <v>ACCIAIO</v>
      </c>
    </row>
    <row r="38" spans="2:53" ht="15" customHeight="1">
      <c r="B38" s="270"/>
      <c r="C38" s="271"/>
      <c r="D38" s="271"/>
      <c r="E38" s="271"/>
      <c r="F38" s="272"/>
      <c r="G38" s="264"/>
      <c r="H38" s="265"/>
      <c r="I38" s="265"/>
      <c r="J38" s="265"/>
      <c r="K38" s="266"/>
      <c r="W38" t="str">
        <f t="shared" si="0"/>
        <v>VGS_9</v>
      </c>
      <c r="X38" t="str">
        <f t="shared" si="16"/>
        <v>VGS_9_600</v>
      </c>
      <c r="Y38" t="str">
        <f t="shared" si="1"/>
        <v>9</v>
      </c>
      <c r="Z38">
        <f t="shared" si="39"/>
        <v>600</v>
      </c>
      <c r="AA38">
        <f t="shared" si="2"/>
        <v>20.32</v>
      </c>
      <c r="AB38" s="22">
        <f>Z38-AF38-25</f>
        <v>425</v>
      </c>
      <c r="AC38" s="4">
        <f>Z38-AG38</f>
        <v>500</v>
      </c>
      <c r="AD38" s="4">
        <f t="shared" si="20"/>
        <v>19.936103137516568</v>
      </c>
      <c r="AE38" s="25">
        <f t="shared" si="21"/>
        <v>23.07614390644196</v>
      </c>
      <c r="AF38" s="39">
        <f t="shared" si="22"/>
        <v>150</v>
      </c>
      <c r="AG38" s="15">
        <f t="shared" si="23"/>
        <v>100</v>
      </c>
      <c r="AH38" s="42">
        <f t="shared" si="24"/>
        <v>12.5</v>
      </c>
      <c r="AI38" s="4">
        <f t="shared" si="25"/>
        <v>30.041479749952398</v>
      </c>
      <c r="AJ38" s="25">
        <f t="shared" si="26"/>
        <v>20.027653166634931</v>
      </c>
      <c r="AK38" s="4"/>
      <c r="AL38" s="4">
        <f t="shared" si="27"/>
        <v>19.936103137516568</v>
      </c>
      <c r="AM38" t="str">
        <f t="shared" si="28"/>
        <v>LEGNO</v>
      </c>
      <c r="AN38" s="4">
        <f t="shared" si="29"/>
        <v>20.027653166634931</v>
      </c>
      <c r="AO38" t="str">
        <f>IF(AN38=AA38,"ACCIAIO",IF(AN38=AE38,"LEGNO",IF(AN38=AJ38,"CALCESTRUZZO")))</f>
        <v>CALCESTRUZZO</v>
      </c>
      <c r="AR38" s="4">
        <f t="shared" si="31"/>
        <v>25.4</v>
      </c>
      <c r="AS38" t="str">
        <f t="shared" si="32"/>
        <v>ACCIAIO</v>
      </c>
      <c r="AT38" s="4">
        <f t="shared" si="33"/>
        <v>25.4</v>
      </c>
      <c r="AU38" t="str">
        <f t="shared" si="34"/>
        <v>ACCIAIO</v>
      </c>
      <c r="AX38" s="4">
        <f t="shared" si="35"/>
        <v>25.4</v>
      </c>
      <c r="AY38" t="str">
        <f t="shared" si="36"/>
        <v>ACCIAIO</v>
      </c>
      <c r="AZ38" s="4">
        <f t="shared" si="37"/>
        <v>25.4</v>
      </c>
      <c r="BA38" t="str">
        <f t="shared" si="38"/>
        <v>ACCIAIO</v>
      </c>
    </row>
    <row r="39" spans="2:53" ht="15" customHeight="1">
      <c r="B39" s="120"/>
      <c r="F39" s="121"/>
      <c r="G39" s="120"/>
      <c r="K39" s="121"/>
      <c r="AB39" s="22"/>
      <c r="AC39" s="4"/>
      <c r="AD39" s="4"/>
      <c r="AE39" s="25"/>
      <c r="AF39" s="39"/>
      <c r="AG39" s="15"/>
      <c r="AH39" s="42"/>
      <c r="AI39" s="4"/>
      <c r="AJ39" s="25"/>
      <c r="AK39" s="4"/>
      <c r="AL39" s="4"/>
      <c r="AN39" s="4"/>
      <c r="AR39" s="4"/>
      <c r="AT39" s="4"/>
      <c r="AX39" s="4"/>
      <c r="AZ39" s="4"/>
    </row>
    <row r="40" spans="2:53" ht="15" customHeight="1">
      <c r="B40" s="120"/>
      <c r="C40" s="68" t="s">
        <v>133</v>
      </c>
      <c r="D40">
        <f>VLOOKUP(D23,E11:J14,5,FALSE)</f>
        <v>45.9</v>
      </c>
      <c r="E40" t="s">
        <v>132</v>
      </c>
      <c r="F40" s="121"/>
      <c r="G40" s="120"/>
      <c r="H40" s="68" t="s">
        <v>212</v>
      </c>
      <c r="I40">
        <f>VLOOKUP(D23,E11:J14,6,FALSE)</f>
        <v>1000</v>
      </c>
      <c r="J40" t="s">
        <v>100</v>
      </c>
      <c r="K40" s="121"/>
      <c r="W40" t="str">
        <f t="shared" ref="W40:W60" si="61">$E$12</f>
        <v>VGS_11</v>
      </c>
      <c r="X40" t="str">
        <f t="shared" si="16"/>
        <v>VGS_11_300</v>
      </c>
      <c r="Y40" t="str">
        <f t="shared" ref="Y40:Y91" si="62">IF(MID(W40,5,1)&lt;=9,MID(W40,5,1),MID(W40,5,2))</f>
        <v>11</v>
      </c>
      <c r="Z40">
        <v>300</v>
      </c>
      <c r="AA40">
        <f t="shared" ref="AA40:AA60" si="63">$G$12/$AE$14</f>
        <v>30.4</v>
      </c>
      <c r="AB40" s="22">
        <f t="shared" ref="AB40:AB45" si="64">Z40-AF40-25</f>
        <v>121</v>
      </c>
      <c r="AC40" s="4">
        <f t="shared" ref="AC40:AC45" si="65">Z40-AG40</f>
        <v>200</v>
      </c>
      <c r="AD40" s="4">
        <f t="shared" ref="AD40:AD45" si="66">((20*(Y40^0.8)*AB40^0.9)/1000)*$AE$10/$AE$9</f>
        <v>7.5564394830239978</v>
      </c>
      <c r="AE40" s="25">
        <f t="shared" ref="AE40:AE45" si="67">((20*(Y40^0.8)*AC40^0.9)/1000)*$AE$10/$AE$9</f>
        <v>11.877837280351404</v>
      </c>
      <c r="AF40" s="39">
        <f t="shared" ref="AF40:AF45" si="68">MAX(14*Y40,150)</f>
        <v>154</v>
      </c>
      <c r="AG40" s="15">
        <f t="shared" ref="AG40:AG45" si="69">MAX(9*Y40,100)</f>
        <v>100</v>
      </c>
      <c r="AH40" s="42">
        <f t="shared" ref="AH40:AH45" si="70">VLOOKUP(W40,$E$11:$I$14,4,FALSE)</f>
        <v>12.5</v>
      </c>
      <c r="AI40" s="4">
        <f t="shared" ref="AI40:AI45" si="71">((Y40*PI())*AF40)*(AH40*$AE$18/$AE$17)/1000</f>
        <v>37.69649384919952</v>
      </c>
      <c r="AJ40" s="25">
        <f t="shared" ref="AJ40:AJ45" si="72">((Y40*PI())*AG40)*(AH40*$AE$18/$AE$17)/1000</f>
        <v>24.478242759220471</v>
      </c>
      <c r="AK40" s="4"/>
      <c r="AL40" s="4">
        <f t="shared" ref="AL40:AL45" si="73">MIN(AA40,AD40,AI40)</f>
        <v>7.5564394830239978</v>
      </c>
      <c r="AM40" t="str">
        <f t="shared" ref="AM40:AM45" si="74">IF(AL40=AA40,"ACCIAIO",IF(AL40=AD40,"LEGNO",IF(AL40=AI40," CALCESTRUZZO")))</f>
        <v>LEGNO</v>
      </c>
      <c r="AN40" s="4">
        <f t="shared" ref="AN40:AN45" si="75">MIN(AA40,AE40,AJ40)</f>
        <v>11.877837280351404</v>
      </c>
      <c r="AO40" t="str">
        <f t="shared" ref="AO40:AO45" si="76">IF(AN40=AA40,"ACCIAIO",IF(AN40=AE40,"LEGNO",IF(AN40=AJ40,"CALCESTRUZZO")))</f>
        <v>LEGNO</v>
      </c>
      <c r="AR40" s="4">
        <f t="shared" ref="AR40:AR45" si="77">MIN(AA40*$AE$14,AD40*$AE$9/$AE$10,AI40*$AE$17/$AE$18)</f>
        <v>10.201193302082398</v>
      </c>
      <c r="AS40" t="str">
        <f t="shared" ref="AS40:AS45" si="78">IF(AR40=AA40*$AE$14,"ACCIAIO",IF(AR40=AD40*$AE$9/$AE$10,"LEGNO",IF(AR40=AI40*$AE$17/$AE$18," CALCESTRUZZO")))</f>
        <v>LEGNO</v>
      </c>
      <c r="AT40" s="4">
        <f t="shared" ref="AT40:AT45" si="79">MIN(AA40*$AE$14,AE40*$AE$9/$AE$10,AJ40*$AE$17/$AE$18)</f>
        <v>16.035080328474397</v>
      </c>
      <c r="AU40" t="str">
        <f t="shared" ref="AU40:AU45" si="80">IF(AT40=AA40*$AE$14,"ACCIAIO",IF(AT40=AE40*$AE$9/$AE$10,"LEGNO",IF(AT40=AJ40*$AE$17/$AE$18," CALCESTRUZZO")))</f>
        <v>LEGNO</v>
      </c>
      <c r="AX40" s="4">
        <f t="shared" ref="AX40:AX45" si="81">MIN(AA40*$AE$14,$AZ$18*AD40*$AE$9/$AE$10,AI40*$AE$17/$AE$18)</f>
        <v>15.301789953123597</v>
      </c>
      <c r="AY40" t="str">
        <f t="shared" ref="AY40:AY45" si="82">IF(AX40=AA40*$AE$14,"ACCIAIO",IF(AX40=$AZ$18*AD40*$AE$9/$AE$10,"LEGNO",IF(AX40=AI40*$AE$17/$AE$18," CALCESTRUZZO")))</f>
        <v>LEGNO</v>
      </c>
      <c r="AZ40" s="4">
        <f t="shared" ref="AZ40:AZ45" si="83">MIN(AA40*$AE$14,$AZ$18*AE40*$AE$9/$AE$10,AJ40*$AE$17/$AE$18)</f>
        <v>24.052620492711597</v>
      </c>
      <c r="BA40" t="str">
        <f t="shared" ref="BA40:BA45" si="84">IF(AZ40=AA40*$AE$14,"ACCIAIO",IF(AZ40=$AZ$18*AE40*$AE$9/$AE$10,"LEGNO",IF(AZ40=AJ40*$AE$17/$AE$18," CALCESTRUZZO")))</f>
        <v>LEGNO</v>
      </c>
    </row>
    <row r="41" spans="2:53" ht="15" customHeight="1">
      <c r="B41" s="120"/>
      <c r="C41" s="68" t="s">
        <v>131</v>
      </c>
      <c r="D41" s="4">
        <f>20*E23^-0.5</f>
        <v>6.030226891555273</v>
      </c>
      <c r="E41" t="s">
        <v>100</v>
      </c>
      <c r="F41" s="192" t="s">
        <v>668</v>
      </c>
      <c r="G41" s="120"/>
      <c r="H41" s="68" t="s">
        <v>214</v>
      </c>
      <c r="I41" s="4">
        <f>PI()*VLOOKUP(D23,E11:K14,7,FALSE)^2/4</f>
        <v>34.21194399759284</v>
      </c>
      <c r="J41" t="s">
        <v>217</v>
      </c>
      <c r="K41" s="121"/>
      <c r="W41" t="str">
        <f t="shared" si="61"/>
        <v>VGS_11</v>
      </c>
      <c r="X41" t="str">
        <f t="shared" si="16"/>
        <v>VGS_11_325</v>
      </c>
      <c r="Y41" t="str">
        <f t="shared" si="62"/>
        <v>11</v>
      </c>
      <c r="Z41">
        <f t="shared" ref="Z41:Z46" si="85">Z40+25</f>
        <v>325</v>
      </c>
      <c r="AA41">
        <f t="shared" si="63"/>
        <v>30.4</v>
      </c>
      <c r="AB41" s="22">
        <f t="shared" si="64"/>
        <v>146</v>
      </c>
      <c r="AC41" s="4">
        <f t="shared" si="65"/>
        <v>225</v>
      </c>
      <c r="AD41" s="4">
        <f t="shared" si="66"/>
        <v>8.9480405906345197</v>
      </c>
      <c r="AE41" s="25">
        <f t="shared" si="67"/>
        <v>13.206101826203909</v>
      </c>
      <c r="AF41" s="39">
        <f t="shared" si="68"/>
        <v>154</v>
      </c>
      <c r="AG41" s="15">
        <f t="shared" si="69"/>
        <v>100</v>
      </c>
      <c r="AH41" s="42">
        <f t="shared" si="70"/>
        <v>12.5</v>
      </c>
      <c r="AI41" s="4">
        <f t="shared" si="71"/>
        <v>37.69649384919952</v>
      </c>
      <c r="AJ41" s="25">
        <f t="shared" si="72"/>
        <v>24.478242759220471</v>
      </c>
      <c r="AK41" s="4"/>
      <c r="AL41" s="4">
        <f t="shared" si="73"/>
        <v>8.9480405906345197</v>
      </c>
      <c r="AM41" t="str">
        <f t="shared" si="74"/>
        <v>LEGNO</v>
      </c>
      <c r="AN41" s="4">
        <f t="shared" si="75"/>
        <v>13.206101826203909</v>
      </c>
      <c r="AO41" t="str">
        <f t="shared" si="76"/>
        <v>LEGNO</v>
      </c>
      <c r="AR41" s="4">
        <f t="shared" si="77"/>
        <v>12.079854797356603</v>
      </c>
      <c r="AS41" t="str">
        <f t="shared" si="78"/>
        <v>LEGNO</v>
      </c>
      <c r="AT41" s="4">
        <f t="shared" si="79"/>
        <v>17.828237465375278</v>
      </c>
      <c r="AU41" t="str">
        <f t="shared" si="80"/>
        <v>LEGNO</v>
      </c>
      <c r="AX41" s="4">
        <f t="shared" si="81"/>
        <v>18.119782196034905</v>
      </c>
      <c r="AY41" t="str">
        <f t="shared" si="82"/>
        <v>LEGNO</v>
      </c>
      <c r="AZ41" s="4">
        <f t="shared" si="83"/>
        <v>26.742356198062922</v>
      </c>
      <c r="BA41" t="str">
        <f t="shared" si="84"/>
        <v>LEGNO</v>
      </c>
    </row>
    <row r="42" spans="2:53" ht="15" customHeight="1">
      <c r="B42" s="120"/>
      <c r="C42" s="68"/>
      <c r="D42" s="4"/>
      <c r="F42" s="121"/>
      <c r="G42" s="120"/>
      <c r="H42" s="68" t="s">
        <v>211</v>
      </c>
      <c r="I42" s="4">
        <f>0.5*I40*I41/1000</f>
        <v>17.10597199879642</v>
      </c>
      <c r="J42" t="s">
        <v>55</v>
      </c>
      <c r="K42" s="192" t="s">
        <v>430</v>
      </c>
      <c r="W42" t="str">
        <f t="shared" si="61"/>
        <v>VGS_11</v>
      </c>
      <c r="X42" t="str">
        <f t="shared" si="16"/>
        <v>VGS_11_350</v>
      </c>
      <c r="Y42" t="str">
        <f t="shared" si="62"/>
        <v>11</v>
      </c>
      <c r="Z42">
        <f t="shared" si="85"/>
        <v>350</v>
      </c>
      <c r="AA42">
        <f t="shared" si="63"/>
        <v>30.4</v>
      </c>
      <c r="AB42" s="22">
        <f t="shared" si="64"/>
        <v>171</v>
      </c>
      <c r="AC42" s="4">
        <f t="shared" si="65"/>
        <v>250</v>
      </c>
      <c r="AD42" s="4">
        <f t="shared" si="66"/>
        <v>10.315894088167918</v>
      </c>
      <c r="AE42" s="25">
        <f t="shared" si="67"/>
        <v>14.519657869845574</v>
      </c>
      <c r="AF42" s="39">
        <f t="shared" si="68"/>
        <v>154</v>
      </c>
      <c r="AG42" s="15">
        <f t="shared" si="69"/>
        <v>100</v>
      </c>
      <c r="AH42" s="42">
        <f t="shared" si="70"/>
        <v>12.5</v>
      </c>
      <c r="AI42" s="4">
        <f t="shared" si="71"/>
        <v>37.69649384919952</v>
      </c>
      <c r="AJ42" s="25">
        <f t="shared" si="72"/>
        <v>24.478242759220471</v>
      </c>
      <c r="AK42" s="4"/>
      <c r="AL42" s="4">
        <f t="shared" si="73"/>
        <v>10.315894088167918</v>
      </c>
      <c r="AM42" t="str">
        <f t="shared" si="74"/>
        <v>LEGNO</v>
      </c>
      <c r="AN42" s="4">
        <f t="shared" si="75"/>
        <v>14.519657869845574</v>
      </c>
      <c r="AO42" t="str">
        <f t="shared" si="76"/>
        <v>LEGNO</v>
      </c>
      <c r="AR42" s="4">
        <f t="shared" si="77"/>
        <v>13.926457019026689</v>
      </c>
      <c r="AS42" t="str">
        <f t="shared" si="78"/>
        <v>LEGNO</v>
      </c>
      <c r="AT42" s="4">
        <f t="shared" si="79"/>
        <v>19.601538124291526</v>
      </c>
      <c r="AU42" t="str">
        <f t="shared" si="80"/>
        <v>LEGNO</v>
      </c>
      <c r="AX42" s="4">
        <f t="shared" si="81"/>
        <v>20.889685528540035</v>
      </c>
      <c r="AY42" t="str">
        <f t="shared" si="82"/>
        <v>LEGNO</v>
      </c>
      <c r="AZ42" s="4">
        <f t="shared" si="83"/>
        <v>29.402307186437287</v>
      </c>
      <c r="BA42" t="str">
        <f t="shared" si="84"/>
        <v>LEGNO</v>
      </c>
    </row>
    <row r="43" spans="2:53" ht="15" customHeight="1">
      <c r="B43" s="120"/>
      <c r="C43" s="68"/>
      <c r="D43" s="131"/>
      <c r="F43" s="121"/>
      <c r="G43" s="120"/>
      <c r="H43" s="68" t="s">
        <v>218</v>
      </c>
      <c r="I43" s="4">
        <f>I42/AE14</f>
        <v>13.684777599037137</v>
      </c>
      <c r="J43" t="s">
        <v>55</v>
      </c>
      <c r="K43" s="121"/>
      <c r="W43" t="str">
        <f t="shared" si="61"/>
        <v>VGS_11</v>
      </c>
      <c r="X43" t="str">
        <f t="shared" si="16"/>
        <v>VGS_11_375</v>
      </c>
      <c r="Y43" t="str">
        <f t="shared" si="62"/>
        <v>11</v>
      </c>
      <c r="Z43">
        <f t="shared" si="85"/>
        <v>375</v>
      </c>
      <c r="AA43">
        <f t="shared" si="63"/>
        <v>30.4</v>
      </c>
      <c r="AB43" s="22">
        <f t="shared" si="64"/>
        <v>196</v>
      </c>
      <c r="AC43" s="4">
        <f t="shared" si="65"/>
        <v>275</v>
      </c>
      <c r="AD43" s="4">
        <f t="shared" si="66"/>
        <v>11.663820823689857</v>
      </c>
      <c r="AE43" s="25">
        <f t="shared" si="67"/>
        <v>15.820120958926619</v>
      </c>
      <c r="AF43" s="39">
        <f t="shared" si="68"/>
        <v>154</v>
      </c>
      <c r="AG43" s="15">
        <f t="shared" si="69"/>
        <v>100</v>
      </c>
      <c r="AH43" s="42">
        <f t="shared" si="70"/>
        <v>12.5</v>
      </c>
      <c r="AI43" s="4">
        <f t="shared" si="71"/>
        <v>37.69649384919952</v>
      </c>
      <c r="AJ43" s="25">
        <f t="shared" si="72"/>
        <v>24.478242759220471</v>
      </c>
      <c r="AK43" s="4"/>
      <c r="AL43" s="4">
        <f t="shared" si="73"/>
        <v>11.663820823689857</v>
      </c>
      <c r="AM43" t="str">
        <f t="shared" si="74"/>
        <v>LEGNO</v>
      </c>
      <c r="AN43" s="4">
        <f t="shared" si="75"/>
        <v>15.820120958926619</v>
      </c>
      <c r="AO43" t="str">
        <f t="shared" si="76"/>
        <v>LEGNO</v>
      </c>
      <c r="AR43" s="4">
        <f t="shared" si="77"/>
        <v>15.746158111981307</v>
      </c>
      <c r="AS43" t="str">
        <f t="shared" si="78"/>
        <v>LEGNO</v>
      </c>
      <c r="AT43" s="4">
        <f t="shared" si="79"/>
        <v>21.357163294550936</v>
      </c>
      <c r="AU43" t="str">
        <f t="shared" si="80"/>
        <v>LEGNO</v>
      </c>
      <c r="AX43" s="4">
        <f t="shared" si="81"/>
        <v>23.61923716797196</v>
      </c>
      <c r="AY43" t="str">
        <f t="shared" si="82"/>
        <v>LEGNO</v>
      </c>
      <c r="AZ43" s="4">
        <f t="shared" si="83"/>
        <v>32.035744941826401</v>
      </c>
      <c r="BA43" t="str">
        <f t="shared" si="84"/>
        <v>LEGNO</v>
      </c>
    </row>
    <row r="44" spans="2:53" ht="15" customHeight="1">
      <c r="B44" s="120"/>
      <c r="C44" s="68" t="s">
        <v>215</v>
      </c>
      <c r="D44" s="4">
        <f>(D41*I30*E23)/1000</f>
        <v>17.24644890984808</v>
      </c>
      <c r="F44" s="121" t="s">
        <v>128</v>
      </c>
      <c r="G44" s="122"/>
      <c r="H44" s="115"/>
      <c r="I44" s="115"/>
      <c r="J44" s="115"/>
      <c r="K44" s="123"/>
      <c r="W44" t="str">
        <f t="shared" si="61"/>
        <v>VGS_11</v>
      </c>
      <c r="X44" t="str">
        <f t="shared" si="16"/>
        <v>VGS_11_400</v>
      </c>
      <c r="Y44" t="str">
        <f t="shared" si="62"/>
        <v>11</v>
      </c>
      <c r="Z44">
        <f t="shared" si="85"/>
        <v>400</v>
      </c>
      <c r="AA44">
        <f t="shared" si="63"/>
        <v>30.4</v>
      </c>
      <c r="AB44" s="22">
        <f t="shared" si="64"/>
        <v>221</v>
      </c>
      <c r="AC44" s="4">
        <f t="shared" si="65"/>
        <v>300</v>
      </c>
      <c r="AD44" s="4">
        <f t="shared" si="66"/>
        <v>12.9946151410065</v>
      </c>
      <c r="AE44" s="25">
        <f t="shared" si="67"/>
        <v>17.108798229761756</v>
      </c>
      <c r="AF44" s="39">
        <f t="shared" si="68"/>
        <v>154</v>
      </c>
      <c r="AG44" s="15">
        <f t="shared" si="69"/>
        <v>100</v>
      </c>
      <c r="AH44" s="42">
        <f t="shared" si="70"/>
        <v>12.5</v>
      </c>
      <c r="AI44" s="4">
        <f t="shared" si="71"/>
        <v>37.69649384919952</v>
      </c>
      <c r="AJ44" s="25">
        <f t="shared" si="72"/>
        <v>24.478242759220471</v>
      </c>
      <c r="AK44" s="4"/>
      <c r="AL44" s="4">
        <f t="shared" si="73"/>
        <v>12.9946151410065</v>
      </c>
      <c r="AM44" t="str">
        <f t="shared" si="74"/>
        <v>LEGNO</v>
      </c>
      <c r="AN44" s="4">
        <f t="shared" si="75"/>
        <v>17.108798229761756</v>
      </c>
      <c r="AO44" t="str">
        <f t="shared" si="76"/>
        <v>LEGNO</v>
      </c>
      <c r="AR44" s="4">
        <f t="shared" si="77"/>
        <v>17.542730440358778</v>
      </c>
      <c r="AS44" t="str">
        <f t="shared" si="78"/>
        <v>LEGNO</v>
      </c>
      <c r="AT44" s="4">
        <f t="shared" si="79"/>
        <v>23.096877610178371</v>
      </c>
      <c r="AU44" t="str">
        <f t="shared" si="80"/>
        <v>LEGNO</v>
      </c>
      <c r="AX44" s="4">
        <f t="shared" si="81"/>
        <v>26.314095660538165</v>
      </c>
      <c r="AY44" t="str">
        <f t="shared" si="82"/>
        <v>LEGNO</v>
      </c>
      <c r="AZ44" s="4">
        <f t="shared" si="83"/>
        <v>34.645316415267558</v>
      </c>
      <c r="BA44" t="str">
        <f t="shared" si="84"/>
        <v>LEGNO</v>
      </c>
    </row>
    <row r="45" spans="2:53" ht="15" customHeight="1">
      <c r="B45" s="120"/>
      <c r="C45" s="68" t="s">
        <v>430</v>
      </c>
      <c r="D45" s="4">
        <f>IF(T55&lt;(T53/100)*S55,(S55+T55),IF(T55&gt;(T53/100),(S55+U55)))</f>
        <v>12.220413318306418</v>
      </c>
      <c r="F45" s="121" t="s">
        <v>21</v>
      </c>
      <c r="W45" t="str">
        <f t="shared" si="61"/>
        <v>VGS_11</v>
      </c>
      <c r="X45" t="str">
        <f t="shared" si="16"/>
        <v>VGS_11_425</v>
      </c>
      <c r="Y45" t="str">
        <f t="shared" si="62"/>
        <v>11</v>
      </c>
      <c r="Z45">
        <f t="shared" si="85"/>
        <v>425</v>
      </c>
      <c r="AA45">
        <f t="shared" si="63"/>
        <v>30.4</v>
      </c>
      <c r="AB45" s="22">
        <f t="shared" si="64"/>
        <v>246</v>
      </c>
      <c r="AC45" s="4">
        <f t="shared" si="65"/>
        <v>325</v>
      </c>
      <c r="AD45" s="4">
        <f t="shared" si="66"/>
        <v>14.31040654043901</v>
      </c>
      <c r="AE45" s="25">
        <f t="shared" si="67"/>
        <v>18.386768165023867</v>
      </c>
      <c r="AF45" s="39">
        <f t="shared" si="68"/>
        <v>154</v>
      </c>
      <c r="AG45" s="15">
        <f t="shared" si="69"/>
        <v>100</v>
      </c>
      <c r="AH45" s="42">
        <f t="shared" si="70"/>
        <v>12.5</v>
      </c>
      <c r="AI45" s="4">
        <f t="shared" si="71"/>
        <v>37.69649384919952</v>
      </c>
      <c r="AJ45" s="25">
        <f t="shared" si="72"/>
        <v>24.478242759220471</v>
      </c>
      <c r="AK45" s="4"/>
      <c r="AL45" s="4">
        <f t="shared" si="73"/>
        <v>14.31040654043901</v>
      </c>
      <c r="AM45" t="str">
        <f t="shared" si="74"/>
        <v>LEGNO</v>
      </c>
      <c r="AN45" s="4">
        <f t="shared" si="75"/>
        <v>18.386768165023867</v>
      </c>
      <c r="AO45" t="str">
        <f t="shared" si="76"/>
        <v>LEGNO</v>
      </c>
      <c r="AR45" s="4">
        <f t="shared" si="77"/>
        <v>19.319048829592663</v>
      </c>
      <c r="AS45" t="str">
        <f t="shared" si="78"/>
        <v>LEGNO</v>
      </c>
      <c r="AT45" s="4">
        <f t="shared" si="79"/>
        <v>24.822137022782222</v>
      </c>
      <c r="AU45" t="str">
        <f t="shared" si="80"/>
        <v>LEGNO</v>
      </c>
      <c r="AX45" s="4">
        <f t="shared" si="81"/>
        <v>28.978573244388993</v>
      </c>
      <c r="AY45" t="str">
        <f t="shared" si="82"/>
        <v>LEGNO</v>
      </c>
      <c r="AZ45" s="4">
        <f t="shared" si="83"/>
        <v>37.233205534173329</v>
      </c>
      <c r="BA45" t="str">
        <f t="shared" si="84"/>
        <v>LEGNO</v>
      </c>
    </row>
    <row r="46" spans="2:53" ht="15" customHeight="1">
      <c r="B46" s="120"/>
      <c r="C46" s="68" t="s">
        <v>386</v>
      </c>
      <c r="D46" s="116">
        <f>IF(T56&lt;(T53/100)*S56,(S56+T56),IF(T56&gt;(T53/100),S56+U56))</f>
        <v>8.02652094980626</v>
      </c>
      <c r="F46" s="121" t="s">
        <v>129</v>
      </c>
      <c r="W46" t="str">
        <f t="shared" si="61"/>
        <v>VGS_11</v>
      </c>
      <c r="X46" t="str">
        <f t="shared" si="16"/>
        <v>VGS_11_450</v>
      </c>
      <c r="Y46" t="str">
        <f t="shared" si="62"/>
        <v>11</v>
      </c>
      <c r="Z46">
        <f t="shared" si="85"/>
        <v>450</v>
      </c>
      <c r="AA46">
        <f t="shared" si="63"/>
        <v>30.4</v>
      </c>
      <c r="AB46" s="22">
        <f t="shared" ref="AB46:AB58" si="86">Z46-AF46-25</f>
        <v>271</v>
      </c>
      <c r="AC46" s="4">
        <f t="shared" ref="AC46:AC95" si="87">Z46-AG46</f>
        <v>350</v>
      </c>
      <c r="AD46" s="4">
        <f t="shared" ref="AD46:AD60" si="88">((20*(Y46^0.8)*AB46^0.9)/1000)*$AE$10/$AE$9</f>
        <v>15.612869766148814</v>
      </c>
      <c r="AE46" s="25">
        <f t="shared" ref="AE46:AE60" si="89">((20*(Y46^0.8)*AC46^0.9)/1000)*$AE$10/$AE$9</f>
        <v>19.65493514885711</v>
      </c>
      <c r="AF46" s="39">
        <f t="shared" si="22"/>
        <v>154</v>
      </c>
      <c r="AG46" s="15">
        <f t="shared" ref="AG46:AG60" si="90">MAX(9*Y46,100)</f>
        <v>100</v>
      </c>
      <c r="AH46" s="42">
        <f t="shared" ref="AH46:AH60" si="91">VLOOKUP(W46,$E$11:$I$14,4,FALSE)</f>
        <v>12.5</v>
      </c>
      <c r="AI46" s="4">
        <f t="shared" ref="AI46:AI60" si="92">((Y46*PI())*AF46)*(AH46*$AE$18/$AE$17)/1000</f>
        <v>37.69649384919952</v>
      </c>
      <c r="AJ46" s="25">
        <f t="shared" ref="AJ46:AJ60" si="93">((Y46*PI())*AG46)*(AH46*$AE$18/$AE$17)/1000</f>
        <v>24.478242759220471</v>
      </c>
      <c r="AK46" s="4"/>
      <c r="AL46" s="4">
        <f t="shared" si="27"/>
        <v>15.612869766148814</v>
      </c>
      <c r="AM46" t="str">
        <f t="shared" si="28"/>
        <v>LEGNO</v>
      </c>
      <c r="AN46" s="4">
        <f t="shared" si="29"/>
        <v>19.65493514885711</v>
      </c>
      <c r="AO46" t="str">
        <f t="shared" si="30"/>
        <v>LEGNO</v>
      </c>
      <c r="AR46" s="4">
        <f t="shared" ref="AR46:AR60" si="94">MIN(AA46*$AE$14,AD46*$AE$9/$AE$10,AI46*$AE$17/$AE$18)</f>
        <v>21.077374184300901</v>
      </c>
      <c r="AS46" t="str">
        <f t="shared" ref="AS46:AS60" si="95">IF(AR46=AA46*$AE$14,"ACCIAIO",IF(AR46=AD46*$AE$9/$AE$10,"LEGNO",IF(AR46=AI46*$AE$17/$AE$18," CALCESTRUZZO")))</f>
        <v>LEGNO</v>
      </c>
      <c r="AT46" s="4">
        <f t="shared" ref="AT46:AT60" si="96">MIN(AA46*$AE$14,AE46*$AE$9/$AE$10,AJ46*$AE$17/$AE$18)</f>
        <v>26.534162450957101</v>
      </c>
      <c r="AU46" t="str">
        <f t="shared" ref="AU46:AU60" si="97">IF(AT46=AA46*$AE$14,"ACCIAIO",IF(AT46=AE46*$AE$9/$AE$10,"LEGNO",IF(AT46=AJ46*$AE$17/$AE$18," CALCESTRUZZO")))</f>
        <v>LEGNO</v>
      </c>
      <c r="AX46" s="4">
        <f t="shared" ref="AX46:AX60" si="98">MIN(AA46*$AE$14,$AZ$18*AD46*$AE$9/$AE$10,AI46*$AE$17/$AE$18)</f>
        <v>31.616061276451351</v>
      </c>
      <c r="AY46" t="str">
        <f t="shared" ref="AY46:AY60" si="99">IF(AX46=AA46*$AE$14,"ACCIAIO",IF(AX46=$AZ$18*AD46*$AE$9/$AE$10,"LEGNO",IF(AX46=AI46*$AE$17/$AE$18," CALCESTRUZZO")))</f>
        <v>LEGNO</v>
      </c>
      <c r="AZ46" s="4">
        <f t="shared" ref="AZ46:AZ60" si="100">MIN(AA46*$AE$14,$AZ$18*AE46*$AE$9/$AE$10,AJ46*$AE$17/$AE$18)</f>
        <v>38</v>
      </c>
      <c r="BA46" t="str">
        <f t="shared" ref="BA46:BA60" si="101">IF(AZ46=AA46*$AE$14,"ACCIAIO",IF(AZ46=$AZ$18*AE46*$AE$9/$AE$10,"LEGNO",IF(AZ46=AJ46*$AE$17/$AE$18," CALCESTRUZZO")))</f>
        <v>ACCIAIO</v>
      </c>
    </row>
    <row r="47" spans="2:53" ht="15" customHeight="1">
      <c r="B47" s="120"/>
      <c r="C47" s="68"/>
      <c r="F47" s="121"/>
      <c r="W47" t="str">
        <f t="shared" si="61"/>
        <v>VGS_11</v>
      </c>
      <c r="X47" t="str">
        <f t="shared" si="16"/>
        <v>VGS_11_475</v>
      </c>
      <c r="Y47" t="str">
        <f t="shared" si="62"/>
        <v>11</v>
      </c>
      <c r="Z47">
        <f t="shared" ref="Z47:Z52" si="102">Z46+25</f>
        <v>475</v>
      </c>
      <c r="AA47">
        <f t="shared" si="63"/>
        <v>30.4</v>
      </c>
      <c r="AB47" s="22">
        <f t="shared" si="86"/>
        <v>296</v>
      </c>
      <c r="AC47" s="4">
        <f t="shared" si="87"/>
        <v>375</v>
      </c>
      <c r="AD47" s="4">
        <f t="shared" si="88"/>
        <v>16.90335510675159</v>
      </c>
      <c r="AE47" s="25">
        <f t="shared" si="89"/>
        <v>20.914068024091584</v>
      </c>
      <c r="AF47" s="39">
        <f t="shared" si="22"/>
        <v>154</v>
      </c>
      <c r="AG47" s="15">
        <f t="shared" si="90"/>
        <v>100</v>
      </c>
      <c r="AH47" s="42">
        <f t="shared" si="91"/>
        <v>12.5</v>
      </c>
      <c r="AI47" s="4">
        <f t="shared" si="92"/>
        <v>37.69649384919952</v>
      </c>
      <c r="AJ47" s="25">
        <f t="shared" si="93"/>
        <v>24.478242759220471</v>
      </c>
      <c r="AK47" s="4"/>
      <c r="AL47" s="4">
        <f t="shared" si="27"/>
        <v>16.90335510675159</v>
      </c>
      <c r="AM47" t="str">
        <f t="shared" si="28"/>
        <v>LEGNO</v>
      </c>
      <c r="AN47" s="4">
        <f t="shared" si="29"/>
        <v>20.914068024091584</v>
      </c>
      <c r="AO47" t="str">
        <f t="shared" si="30"/>
        <v>LEGNO</v>
      </c>
      <c r="AR47" s="4">
        <f t="shared" si="94"/>
        <v>22.81952939411465</v>
      </c>
      <c r="AS47" t="str">
        <f t="shared" si="95"/>
        <v>LEGNO</v>
      </c>
      <c r="AT47" s="4">
        <f t="shared" si="96"/>
        <v>28.233991832523639</v>
      </c>
      <c r="AU47" t="str">
        <f t="shared" si="97"/>
        <v>LEGNO</v>
      </c>
      <c r="AX47" s="4">
        <f t="shared" si="98"/>
        <v>34.229294091171973</v>
      </c>
      <c r="AY47" t="str">
        <f t="shared" si="99"/>
        <v>LEGNO</v>
      </c>
      <c r="AZ47" s="4">
        <f t="shared" si="100"/>
        <v>38</v>
      </c>
      <c r="BA47" t="str">
        <f t="shared" si="101"/>
        <v>ACCIAIO</v>
      </c>
    </row>
    <row r="48" spans="2:53" ht="15" customHeight="1">
      <c r="B48" s="120"/>
      <c r="C48" s="68" t="s">
        <v>314</v>
      </c>
      <c r="D48" s="4">
        <f>MIN(D44,D46,D45)*AE10/AE11</f>
        <v>6.1742468844663536</v>
      </c>
      <c r="E48" t="s">
        <v>55</v>
      </c>
      <c r="F48" s="121" t="str">
        <f>VLOOKUP(D48*AE11/CLT!N12,D44:F46,3,FALSE)</f>
        <v>e</v>
      </c>
      <c r="W48" t="str">
        <f t="shared" si="61"/>
        <v>VGS_11</v>
      </c>
      <c r="X48" t="str">
        <f t="shared" si="16"/>
        <v>VGS_11_500</v>
      </c>
      <c r="Y48" t="str">
        <f t="shared" si="62"/>
        <v>11</v>
      </c>
      <c r="Z48">
        <f t="shared" si="102"/>
        <v>500</v>
      </c>
      <c r="AA48">
        <f t="shared" si="63"/>
        <v>30.4</v>
      </c>
      <c r="AB48" s="22">
        <f t="shared" si="86"/>
        <v>321</v>
      </c>
      <c r="AC48" s="4">
        <f t="shared" si="87"/>
        <v>400</v>
      </c>
      <c r="AD48" s="4">
        <f t="shared" si="88"/>
        <v>18.182973444474648</v>
      </c>
      <c r="AE48" s="25">
        <f t="shared" si="89"/>
        <v>22.164828101347375</v>
      </c>
      <c r="AF48" s="39">
        <f t="shared" si="22"/>
        <v>154</v>
      </c>
      <c r="AG48" s="15">
        <f t="shared" si="90"/>
        <v>100</v>
      </c>
      <c r="AH48" s="42">
        <f t="shared" si="91"/>
        <v>12.5</v>
      </c>
      <c r="AI48" s="4">
        <f t="shared" si="92"/>
        <v>37.69649384919952</v>
      </c>
      <c r="AJ48" s="25">
        <f t="shared" si="93"/>
        <v>24.478242759220471</v>
      </c>
      <c r="AK48" s="4"/>
      <c r="AL48" s="4">
        <f t="shared" si="27"/>
        <v>18.182973444474648</v>
      </c>
      <c r="AM48" t="str">
        <f t="shared" si="28"/>
        <v>LEGNO</v>
      </c>
      <c r="AN48" s="4">
        <f t="shared" si="29"/>
        <v>22.164828101347375</v>
      </c>
      <c r="AO48" t="str">
        <f t="shared" si="30"/>
        <v>LEGNO</v>
      </c>
      <c r="AR48" s="4">
        <f t="shared" si="94"/>
        <v>24.547014150040777</v>
      </c>
      <c r="AS48" t="str">
        <f t="shared" si="95"/>
        <v>LEGNO</v>
      </c>
      <c r="AT48" s="4">
        <f t="shared" si="96"/>
        <v>29.922517936818959</v>
      </c>
      <c r="AU48" t="str">
        <f t="shared" si="97"/>
        <v>LEGNO</v>
      </c>
      <c r="AX48" s="4">
        <f t="shared" si="98"/>
        <v>36.820521225061164</v>
      </c>
      <c r="AY48" t="str">
        <f t="shared" si="99"/>
        <v>LEGNO</v>
      </c>
      <c r="AZ48" s="4">
        <f t="shared" si="100"/>
        <v>38</v>
      </c>
      <c r="BA48" t="str">
        <f t="shared" si="101"/>
        <v>ACCIAIO</v>
      </c>
    </row>
    <row r="49" spans="2:53" ht="15" customHeight="1">
      <c r="B49" s="120"/>
      <c r="C49" s="68"/>
      <c r="F49" s="121"/>
      <c r="K49" s="9"/>
      <c r="W49" t="str">
        <f t="shared" si="61"/>
        <v>VGS_11</v>
      </c>
      <c r="X49" t="str">
        <f t="shared" si="16"/>
        <v>VGS_11_525</v>
      </c>
      <c r="Y49" t="str">
        <f t="shared" si="62"/>
        <v>11</v>
      </c>
      <c r="Z49">
        <f t="shared" si="102"/>
        <v>525</v>
      </c>
      <c r="AA49">
        <f t="shared" si="63"/>
        <v>30.4</v>
      </c>
      <c r="AB49" s="22">
        <f t="shared" si="86"/>
        <v>346</v>
      </c>
      <c r="AC49" s="4">
        <f t="shared" si="87"/>
        <v>425</v>
      </c>
      <c r="AD49" s="4">
        <f t="shared" si="88"/>
        <v>19.452654091706371</v>
      </c>
      <c r="AE49" s="25">
        <f t="shared" si="89"/>
        <v>23.407789987044442</v>
      </c>
      <c r="AF49" s="39">
        <f t="shared" si="22"/>
        <v>154</v>
      </c>
      <c r="AG49" s="15">
        <f t="shared" si="90"/>
        <v>100</v>
      </c>
      <c r="AH49" s="42">
        <f t="shared" si="91"/>
        <v>12.5</v>
      </c>
      <c r="AI49" s="4">
        <f t="shared" si="92"/>
        <v>37.69649384919952</v>
      </c>
      <c r="AJ49" s="25">
        <f t="shared" si="93"/>
        <v>24.478242759220471</v>
      </c>
      <c r="AK49" s="4"/>
      <c r="AL49" s="4">
        <f t="shared" si="27"/>
        <v>19.452654091706371</v>
      </c>
      <c r="AM49" t="str">
        <f t="shared" si="28"/>
        <v>LEGNO</v>
      </c>
      <c r="AN49" s="4">
        <f t="shared" si="29"/>
        <v>23.407789987044442</v>
      </c>
      <c r="AO49" t="str">
        <f t="shared" si="30"/>
        <v>LEGNO</v>
      </c>
      <c r="AR49" s="4">
        <f t="shared" si="94"/>
        <v>26.261083023803604</v>
      </c>
      <c r="AS49" t="str">
        <f t="shared" si="95"/>
        <v>LEGNO</v>
      </c>
      <c r="AT49" s="4">
        <f t="shared" si="96"/>
        <v>31.600516482509999</v>
      </c>
      <c r="AU49" t="str">
        <f t="shared" si="97"/>
        <v>LEGNO</v>
      </c>
      <c r="AX49" s="4">
        <f t="shared" si="98"/>
        <v>38</v>
      </c>
      <c r="AY49" t="str">
        <f t="shared" si="99"/>
        <v>ACCIAIO</v>
      </c>
      <c r="AZ49" s="4">
        <f t="shared" si="100"/>
        <v>38</v>
      </c>
      <c r="BA49" t="str">
        <f t="shared" si="101"/>
        <v>ACCIAIO</v>
      </c>
    </row>
    <row r="50" spans="2:53" ht="15" customHeight="1">
      <c r="B50" s="120"/>
      <c r="C50" s="68" t="s">
        <v>238</v>
      </c>
      <c r="D50" s="4">
        <f>2.3*(D40*10^3/(D41*E23))^0.5</f>
        <v>60.502178096441845</v>
      </c>
      <c r="E50" t="s">
        <v>35</v>
      </c>
      <c r="F50" s="121" t="str">
        <f>IF(D50&lt;I30,"OK","NO")</f>
        <v>OK</v>
      </c>
      <c r="K50" s="9"/>
      <c r="W50" t="str">
        <f t="shared" si="61"/>
        <v>VGS_11</v>
      </c>
      <c r="X50" t="str">
        <f t="shared" si="16"/>
        <v>VGS_11_550</v>
      </c>
      <c r="Y50" t="str">
        <f t="shared" si="62"/>
        <v>11</v>
      </c>
      <c r="Z50">
        <f t="shared" si="102"/>
        <v>550</v>
      </c>
      <c r="AA50">
        <f t="shared" si="63"/>
        <v>30.4</v>
      </c>
      <c r="AB50" s="22">
        <f t="shared" si="86"/>
        <v>371</v>
      </c>
      <c r="AC50" s="4">
        <f t="shared" si="87"/>
        <v>450</v>
      </c>
      <c r="AD50" s="4">
        <f t="shared" si="88"/>
        <v>20.713185469869224</v>
      </c>
      <c r="AE50" s="25">
        <f t="shared" si="89"/>
        <v>24.643457386885459</v>
      </c>
      <c r="AF50" s="39">
        <f t="shared" si="22"/>
        <v>154</v>
      </c>
      <c r="AG50" s="15">
        <f t="shared" si="90"/>
        <v>100</v>
      </c>
      <c r="AH50" s="42">
        <f t="shared" si="91"/>
        <v>12.5</v>
      </c>
      <c r="AI50" s="4">
        <f t="shared" si="92"/>
        <v>37.69649384919952</v>
      </c>
      <c r="AJ50" s="25">
        <f t="shared" si="93"/>
        <v>24.478242759220471</v>
      </c>
      <c r="AK50" s="4"/>
      <c r="AL50" s="4">
        <f t="shared" si="27"/>
        <v>20.713185469869224</v>
      </c>
      <c r="AM50" t="str">
        <f t="shared" si="28"/>
        <v>LEGNO</v>
      </c>
      <c r="AN50" s="4">
        <f t="shared" si="29"/>
        <v>24.478242759220471</v>
      </c>
      <c r="AO50" t="str">
        <f t="shared" si="30"/>
        <v>CALCESTRUZZO</v>
      </c>
      <c r="AR50" s="4">
        <f t="shared" si="94"/>
        <v>27.962800384323454</v>
      </c>
      <c r="AS50" t="str">
        <f t="shared" si="95"/>
        <v>LEGNO</v>
      </c>
      <c r="AT50" s="4">
        <f t="shared" si="96"/>
        <v>33.26866747229537</v>
      </c>
      <c r="AU50" t="str">
        <f t="shared" si="97"/>
        <v>LEGNO</v>
      </c>
      <c r="AX50" s="4">
        <f t="shared" si="98"/>
        <v>38</v>
      </c>
      <c r="AY50" t="str">
        <f t="shared" si="99"/>
        <v>ACCIAIO</v>
      </c>
      <c r="AZ50" s="4">
        <f t="shared" si="100"/>
        <v>38</v>
      </c>
      <c r="BA50" t="str">
        <f t="shared" si="101"/>
        <v>ACCIAIO</v>
      </c>
    </row>
    <row r="51" spans="2:53" ht="15" customHeight="1">
      <c r="B51" s="120"/>
      <c r="F51" s="121"/>
      <c r="W51" t="str">
        <f t="shared" si="61"/>
        <v>VGS_11</v>
      </c>
      <c r="X51" t="str">
        <f t="shared" si="16"/>
        <v>VGS_11_575</v>
      </c>
      <c r="Y51" t="str">
        <f t="shared" si="62"/>
        <v>11</v>
      </c>
      <c r="Z51">
        <f t="shared" si="102"/>
        <v>575</v>
      </c>
      <c r="AA51">
        <f t="shared" si="63"/>
        <v>30.4</v>
      </c>
      <c r="AB51" s="22">
        <f t="shared" si="86"/>
        <v>396</v>
      </c>
      <c r="AC51" s="4">
        <f t="shared" si="87"/>
        <v>475</v>
      </c>
      <c r="AD51" s="4">
        <f t="shared" si="88"/>
        <v>21.965244539057114</v>
      </c>
      <c r="AE51" s="25">
        <f t="shared" si="89"/>
        <v>25.872275309469348</v>
      </c>
      <c r="AF51" s="39">
        <f t="shared" si="22"/>
        <v>154</v>
      </c>
      <c r="AG51" s="15">
        <f t="shared" si="90"/>
        <v>100</v>
      </c>
      <c r="AH51" s="42">
        <f t="shared" si="91"/>
        <v>12.5</v>
      </c>
      <c r="AI51" s="4">
        <f t="shared" si="92"/>
        <v>37.69649384919952</v>
      </c>
      <c r="AJ51" s="25">
        <f t="shared" si="93"/>
        <v>24.478242759220471</v>
      </c>
      <c r="AK51" s="4"/>
      <c r="AL51" s="4">
        <f t="shared" si="27"/>
        <v>21.965244539057114</v>
      </c>
      <c r="AM51" t="str">
        <f t="shared" si="28"/>
        <v>LEGNO</v>
      </c>
      <c r="AN51" s="4">
        <f t="shared" si="29"/>
        <v>24.478242759220471</v>
      </c>
      <c r="AO51" t="str">
        <f t="shared" si="30"/>
        <v>CALCESTRUZZO</v>
      </c>
      <c r="AR51" s="4">
        <f t="shared" si="94"/>
        <v>29.653080127727105</v>
      </c>
      <c r="AS51" t="str">
        <f t="shared" si="95"/>
        <v>LEGNO</v>
      </c>
      <c r="AT51" s="4">
        <f t="shared" si="96"/>
        <v>34.927571667783624</v>
      </c>
      <c r="AU51" t="str">
        <f t="shared" si="97"/>
        <v>LEGNO</v>
      </c>
      <c r="AX51" s="4">
        <f t="shared" si="98"/>
        <v>38</v>
      </c>
      <c r="AY51" t="str">
        <f t="shared" si="99"/>
        <v>ACCIAIO</v>
      </c>
      <c r="AZ51" s="4">
        <f t="shared" si="100"/>
        <v>38</v>
      </c>
      <c r="BA51" t="str">
        <f t="shared" si="101"/>
        <v>ACCIAIO</v>
      </c>
    </row>
    <row r="52" spans="2:53" ht="15" customHeight="1">
      <c r="B52" s="120"/>
      <c r="C52" s="260" t="str">
        <f>traduzioni!A179</f>
        <v>Rigidité latérale pour chaque vis</v>
      </c>
      <c r="D52" s="260"/>
      <c r="E52" s="260"/>
      <c r="F52" s="129"/>
      <c r="W52" t="str">
        <f t="shared" si="61"/>
        <v>VGS_11</v>
      </c>
      <c r="X52" t="str">
        <f t="shared" si="16"/>
        <v>VGS_11_600</v>
      </c>
      <c r="Y52" t="str">
        <f t="shared" si="62"/>
        <v>11</v>
      </c>
      <c r="Z52">
        <f t="shared" si="102"/>
        <v>600</v>
      </c>
      <c r="AA52">
        <f t="shared" si="63"/>
        <v>30.4</v>
      </c>
      <c r="AB52" s="22">
        <f t="shared" si="86"/>
        <v>421</v>
      </c>
      <c r="AC52" s="4">
        <f t="shared" si="87"/>
        <v>500</v>
      </c>
      <c r="AD52" s="4">
        <f t="shared" si="88"/>
        <v>23.20941860578759</v>
      </c>
      <c r="AE52" s="25">
        <f t="shared" si="89"/>
        <v>27.094639636785931</v>
      </c>
      <c r="AF52" s="39">
        <f t="shared" si="22"/>
        <v>154</v>
      </c>
      <c r="AG52" s="15">
        <f t="shared" si="90"/>
        <v>100</v>
      </c>
      <c r="AH52" s="42">
        <f t="shared" si="91"/>
        <v>12.5</v>
      </c>
      <c r="AI52" s="4">
        <f t="shared" si="92"/>
        <v>37.69649384919952</v>
      </c>
      <c r="AJ52" s="25">
        <f t="shared" si="93"/>
        <v>24.478242759220471</v>
      </c>
      <c r="AK52" s="4"/>
      <c r="AL52" s="4">
        <f t="shared" si="27"/>
        <v>23.20941860578759</v>
      </c>
      <c r="AM52" t="str">
        <f t="shared" si="28"/>
        <v>LEGNO</v>
      </c>
      <c r="AN52" s="4">
        <f t="shared" si="29"/>
        <v>24.478242759220471</v>
      </c>
      <c r="AO52" t="str">
        <f t="shared" si="30"/>
        <v>CALCESTRUZZO</v>
      </c>
      <c r="AR52" s="4">
        <f t="shared" si="94"/>
        <v>31.332715117813247</v>
      </c>
      <c r="AS52" t="str">
        <f t="shared" si="95"/>
        <v>LEGNO</v>
      </c>
      <c r="AT52" s="4">
        <f t="shared" si="96"/>
        <v>36.577763509661011</v>
      </c>
      <c r="AU52" t="str">
        <f t="shared" si="97"/>
        <v>LEGNO</v>
      </c>
      <c r="AX52" s="4">
        <f t="shared" si="98"/>
        <v>38</v>
      </c>
      <c r="AY52" t="str">
        <f t="shared" si="99"/>
        <v>ACCIAIO</v>
      </c>
      <c r="AZ52" s="4">
        <f t="shared" si="100"/>
        <v>38</v>
      </c>
      <c r="BA52" t="str">
        <f t="shared" si="101"/>
        <v>ACCIAIO</v>
      </c>
    </row>
    <row r="53" spans="2:53" ht="15" customHeight="1">
      <c r="B53" s="128"/>
      <c r="C53" s="68" t="s">
        <v>252</v>
      </c>
      <c r="D53" s="9">
        <f>2*60*(0.7*E23)^1.7</f>
        <v>3856.6966343319555</v>
      </c>
      <c r="E53" t="s">
        <v>253</v>
      </c>
      <c r="F53" s="192" t="s">
        <v>430</v>
      </c>
      <c r="S53" s="34" t="s">
        <v>242</v>
      </c>
      <c r="T53" s="126">
        <v>100</v>
      </c>
      <c r="W53" t="str">
        <f t="shared" si="61"/>
        <v>VGS_11</v>
      </c>
      <c r="X53" t="str">
        <f t="shared" si="16"/>
        <v>VGS_11_650</v>
      </c>
      <c r="Y53" t="str">
        <f t="shared" si="62"/>
        <v>11</v>
      </c>
      <c r="Z53">
        <f>Z52+50</f>
        <v>650</v>
      </c>
      <c r="AA53">
        <f t="shared" si="63"/>
        <v>30.4</v>
      </c>
      <c r="AB53" s="22">
        <f t="shared" ref="AB53:AB56" si="103">Z53-AF53-25</f>
        <v>471</v>
      </c>
      <c r="AC53" s="4">
        <f t="shared" ref="AC53:AC56" si="104">Z53-AG53</f>
        <v>550</v>
      </c>
      <c r="AD53" s="4">
        <f t="shared" ref="AD53:AD56" si="105">((20*(Y53^0.8)*AB53^0.9)/1000)*$AE$10/$AE$9</f>
        <v>25.676107878594259</v>
      </c>
      <c r="AE53" s="25">
        <f t="shared" ref="AE53:AE56" si="106">((20*(Y53^0.8)*AC53^0.9)/1000)*$AE$10/$AE$9</f>
        <v>29.521389569562881</v>
      </c>
      <c r="AF53" s="39">
        <f t="shared" ref="AF53:AF56" si="107">MAX(14*Y53,150)</f>
        <v>154</v>
      </c>
      <c r="AG53" s="15">
        <f t="shared" ref="AG53:AG56" si="108">MAX(9*Y53,100)</f>
        <v>100</v>
      </c>
      <c r="AH53" s="42">
        <f t="shared" ref="AH53:AH56" si="109">VLOOKUP(W53,$E$11:$I$14,4,FALSE)</f>
        <v>12.5</v>
      </c>
      <c r="AI53" s="4">
        <f t="shared" ref="AI53:AI56" si="110">((Y53*PI())*AF53)*(AH53*$AE$18/$AE$17)/1000</f>
        <v>37.69649384919952</v>
      </c>
      <c r="AJ53" s="25">
        <f t="shared" ref="AJ53:AJ56" si="111">((Y53*PI())*AG53)*(AH53*$AE$18/$AE$17)/1000</f>
        <v>24.478242759220471</v>
      </c>
      <c r="AK53" s="4"/>
      <c r="AL53" s="4">
        <f t="shared" ref="AL53:AL56" si="112">MIN(AA53,AD53,AI53)</f>
        <v>25.676107878594259</v>
      </c>
      <c r="AM53" t="str">
        <f t="shared" ref="AM53:AM56" si="113">IF(AL53=AA53,"ACCIAIO",IF(AL53=AD53,"LEGNO",IF(AL53=AI53," CALCESTRUZZO")))</f>
        <v>LEGNO</v>
      </c>
      <c r="AN53" s="4">
        <f t="shared" ref="AN53:AN56" si="114">MIN(AA53,AE53,AJ53)</f>
        <v>24.478242759220471</v>
      </c>
      <c r="AO53" t="str">
        <f t="shared" ref="AO53:AO56" si="115">IF(AN53=AA53,"ACCIAIO",IF(AN53=AE53,"LEGNO",IF(AN53=AJ53,"CALCESTRUZZO")))</f>
        <v>CALCESTRUZZO</v>
      </c>
      <c r="AR53" s="4">
        <f t="shared" ref="AR53:AR56" si="116">MIN(AA53*$AE$14,AD53*$AE$9/$AE$10,AI53*$AE$17/$AE$18)</f>
        <v>34.662745636102251</v>
      </c>
      <c r="AS53" t="str">
        <f t="shared" ref="AS53:AS56" si="117">IF(AR53=AA53*$AE$14,"ACCIAIO",IF(AR53=AD53*$AE$9/$AE$10,"LEGNO",IF(AR53=AI53*$AE$17/$AE$18," CALCESTRUZZO")))</f>
        <v>LEGNO</v>
      </c>
      <c r="AT53" s="4">
        <f t="shared" ref="AT53:AT56" si="118">MIN(AA53*$AE$14,AE53*$AE$9/$AE$10,AJ53*$AE$17/$AE$18)</f>
        <v>38</v>
      </c>
      <c r="AU53" t="str">
        <f t="shared" ref="AU53:AU56" si="119">IF(AT53=AA53*$AE$14,"ACCIAIO",IF(AT53=AE53*$AE$9/$AE$10,"LEGNO",IF(AT53=AJ53*$AE$17/$AE$18," CALCESTRUZZO")))</f>
        <v>ACCIAIO</v>
      </c>
      <c r="AX53" s="4">
        <f t="shared" ref="AX53:AX56" si="120">MIN(AA53*$AE$14,$AZ$18*AD53*$AE$9/$AE$10,AI53*$AE$17/$AE$18)</f>
        <v>38</v>
      </c>
      <c r="AY53" t="str">
        <f t="shared" ref="AY53:AY56" si="121">IF(AX53=AA53*$AE$14,"ACCIAIO",IF(AX53=$AZ$18*AD53*$AE$9/$AE$10,"LEGNO",IF(AX53=AI53*$AE$17/$AE$18," CALCESTRUZZO")))</f>
        <v>ACCIAIO</v>
      </c>
      <c r="AZ53" s="4">
        <f t="shared" ref="AZ53:AZ56" si="122">MIN(AA53*$AE$14,$AZ$18*AE53*$AE$9/$AE$10,AJ53*$AE$17/$AE$18)</f>
        <v>38</v>
      </c>
      <c r="BA53" t="str">
        <f t="shared" ref="BA53:BA56" si="123">IF(AZ53=AA53*$AE$14,"ACCIAIO",IF(AZ53=$AZ$18*AE53*$AE$9/$AE$10,"LEGNO",IF(AZ53=AJ53*$AE$17/$AE$18," CALCESTRUZZO")))</f>
        <v>ACCIAIO</v>
      </c>
    </row>
    <row r="54" spans="2:53" ht="15" customHeight="1">
      <c r="B54" s="120"/>
      <c r="F54" s="121"/>
      <c r="S54" s="34" t="s">
        <v>240</v>
      </c>
      <c r="T54" s="34" t="s">
        <v>241</v>
      </c>
      <c r="U54" t="s">
        <v>243</v>
      </c>
      <c r="W54" t="str">
        <f t="shared" si="61"/>
        <v>VGS_11</v>
      </c>
      <c r="X54" t="str">
        <f t="shared" si="16"/>
        <v>VGS_11_700</v>
      </c>
      <c r="Y54" t="str">
        <f t="shared" si="62"/>
        <v>11</v>
      </c>
      <c r="Z54">
        <f t="shared" ref="Z54:Z60" si="124">Z53+50</f>
        <v>700</v>
      </c>
      <c r="AA54">
        <f t="shared" si="63"/>
        <v>30.4</v>
      </c>
      <c r="AB54" s="22">
        <f t="shared" si="103"/>
        <v>521</v>
      </c>
      <c r="AC54" s="4">
        <f t="shared" si="104"/>
        <v>600</v>
      </c>
      <c r="AD54" s="4">
        <f t="shared" si="105"/>
        <v>28.116698652609028</v>
      </c>
      <c r="AE54" s="25">
        <f t="shared" si="106"/>
        <v>31.926146387828492</v>
      </c>
      <c r="AF54" s="39">
        <f t="shared" si="107"/>
        <v>154</v>
      </c>
      <c r="AG54" s="15">
        <f t="shared" si="108"/>
        <v>100</v>
      </c>
      <c r="AH54" s="42">
        <f t="shared" si="109"/>
        <v>12.5</v>
      </c>
      <c r="AI54" s="4">
        <f t="shared" si="110"/>
        <v>37.69649384919952</v>
      </c>
      <c r="AJ54" s="25">
        <f t="shared" si="111"/>
        <v>24.478242759220471</v>
      </c>
      <c r="AK54" s="4"/>
      <c r="AL54" s="4">
        <f t="shared" si="112"/>
        <v>28.116698652609028</v>
      </c>
      <c r="AM54" t="str">
        <f t="shared" si="113"/>
        <v>LEGNO</v>
      </c>
      <c r="AN54" s="4">
        <f t="shared" si="114"/>
        <v>24.478242759220471</v>
      </c>
      <c r="AO54" t="str">
        <f t="shared" si="115"/>
        <v>CALCESTRUZZO</v>
      </c>
      <c r="AR54" s="4">
        <f t="shared" si="116"/>
        <v>37.957543181022189</v>
      </c>
      <c r="AS54" t="str">
        <f t="shared" si="117"/>
        <v>LEGNO</v>
      </c>
      <c r="AT54" s="4">
        <f t="shared" si="118"/>
        <v>38</v>
      </c>
      <c r="AU54" t="str">
        <f t="shared" si="119"/>
        <v>ACCIAIO</v>
      </c>
      <c r="AX54" s="4">
        <f t="shared" si="120"/>
        <v>38</v>
      </c>
      <c r="AY54" t="str">
        <f t="shared" si="121"/>
        <v>ACCIAIO</v>
      </c>
      <c r="AZ54" s="4">
        <f t="shared" si="122"/>
        <v>38</v>
      </c>
      <c r="BA54" t="str">
        <f t="shared" si="123"/>
        <v>ACCIAIO</v>
      </c>
    </row>
    <row r="55" spans="2:53" ht="15" customHeight="1">
      <c r="B55" s="122"/>
      <c r="C55" s="115"/>
      <c r="D55" s="115"/>
      <c r="E55" s="115"/>
      <c r="F55" s="123"/>
      <c r="S55" s="127">
        <f>(D41*I30*E23*(((2+(4*D40/(D41*E23*I30^2)))^0.5)-1))/1000</f>
        <v>7.1439627030425541</v>
      </c>
      <c r="T55" s="127">
        <f>IF(I34=I32,I34/4*(AE11/AE10),IF(I34=I31,I34/4*AE14))</f>
        <v>5.0764506152638642</v>
      </c>
      <c r="U55" s="4">
        <f>MIN(T55,S55*($T$53/100))</f>
        <v>5.0764506152638642</v>
      </c>
      <c r="W55" t="str">
        <f t="shared" si="61"/>
        <v>VGS_11</v>
      </c>
      <c r="X55" t="str">
        <f t="shared" si="16"/>
        <v>VGS_11_750</v>
      </c>
      <c r="Y55" t="str">
        <f t="shared" si="62"/>
        <v>11</v>
      </c>
      <c r="Z55">
        <f t="shared" si="124"/>
        <v>750</v>
      </c>
      <c r="AA55">
        <f t="shared" si="63"/>
        <v>30.4</v>
      </c>
      <c r="AB55" s="22">
        <f t="shared" si="103"/>
        <v>571</v>
      </c>
      <c r="AC55" s="4">
        <f t="shared" si="104"/>
        <v>650</v>
      </c>
      <c r="AD55" s="4">
        <f t="shared" si="105"/>
        <v>30.533941747774971</v>
      </c>
      <c r="AE55" s="25">
        <f t="shared" si="106"/>
        <v>34.310922611411911</v>
      </c>
      <c r="AF55" s="39">
        <f t="shared" si="107"/>
        <v>154</v>
      </c>
      <c r="AG55" s="15">
        <f t="shared" si="108"/>
        <v>100</v>
      </c>
      <c r="AH55" s="42">
        <f t="shared" si="109"/>
        <v>12.5</v>
      </c>
      <c r="AI55" s="4">
        <f t="shared" si="110"/>
        <v>37.69649384919952</v>
      </c>
      <c r="AJ55" s="25">
        <f t="shared" si="111"/>
        <v>24.478242759220471</v>
      </c>
      <c r="AK55" s="4"/>
      <c r="AL55" s="4">
        <f t="shared" si="112"/>
        <v>30.4</v>
      </c>
      <c r="AM55" t="str">
        <f t="shared" si="113"/>
        <v>ACCIAIO</v>
      </c>
      <c r="AN55" s="4">
        <f t="shared" si="114"/>
        <v>24.478242759220471</v>
      </c>
      <c r="AO55" t="str">
        <f t="shared" si="115"/>
        <v>CALCESTRUZZO</v>
      </c>
      <c r="AR55" s="4">
        <f t="shared" si="116"/>
        <v>38</v>
      </c>
      <c r="AS55" t="str">
        <f t="shared" si="117"/>
        <v>ACCIAIO</v>
      </c>
      <c r="AT55" s="4">
        <f t="shared" si="118"/>
        <v>38</v>
      </c>
      <c r="AU55" t="str">
        <f t="shared" si="119"/>
        <v>ACCIAIO</v>
      </c>
      <c r="AX55" s="4">
        <f t="shared" si="120"/>
        <v>38</v>
      </c>
      <c r="AY55" t="str">
        <f t="shared" si="121"/>
        <v>ACCIAIO</v>
      </c>
      <c r="AZ55" s="4">
        <f t="shared" si="122"/>
        <v>38</v>
      </c>
      <c r="BA55" t="str">
        <f t="shared" si="123"/>
        <v>ACCIAIO</v>
      </c>
    </row>
    <row r="56" spans="2:53" ht="15" customHeight="1">
      <c r="S56" s="127">
        <f>(2.3*(D40*1000*D41*E23)^0.5)/1000</f>
        <v>4.01326047490313</v>
      </c>
      <c r="T56" s="127">
        <f>IF(I34=I32,I32/4*(AE11/AE10),IF(I34=I31,I31/4*AE14))</f>
        <v>5.0764506152638642</v>
      </c>
      <c r="U56" s="4">
        <f>MIN(T56,S56*($T$53/100))</f>
        <v>4.01326047490313</v>
      </c>
      <c r="W56" t="str">
        <f t="shared" si="61"/>
        <v>VGS_11</v>
      </c>
      <c r="X56" t="str">
        <f t="shared" si="16"/>
        <v>VGS_11_800</v>
      </c>
      <c r="Y56" t="str">
        <f t="shared" si="62"/>
        <v>11</v>
      </c>
      <c r="Z56">
        <f t="shared" si="124"/>
        <v>800</v>
      </c>
      <c r="AA56">
        <f t="shared" si="63"/>
        <v>30.4</v>
      </c>
      <c r="AB56" s="22">
        <f t="shared" si="103"/>
        <v>621</v>
      </c>
      <c r="AC56" s="4">
        <f t="shared" si="104"/>
        <v>700</v>
      </c>
      <c r="AD56" s="4">
        <f t="shared" si="105"/>
        <v>32.930082249761206</v>
      </c>
      <c r="AE56" s="25">
        <f t="shared" si="106"/>
        <v>36.677405880800201</v>
      </c>
      <c r="AF56" s="39">
        <f t="shared" si="107"/>
        <v>154</v>
      </c>
      <c r="AG56" s="15">
        <f t="shared" si="108"/>
        <v>100</v>
      </c>
      <c r="AH56" s="42">
        <f t="shared" si="109"/>
        <v>12.5</v>
      </c>
      <c r="AI56" s="4">
        <f t="shared" si="110"/>
        <v>37.69649384919952</v>
      </c>
      <c r="AJ56" s="25">
        <f t="shared" si="111"/>
        <v>24.478242759220471</v>
      </c>
      <c r="AK56" s="4"/>
      <c r="AL56" s="4">
        <f t="shared" si="112"/>
        <v>30.4</v>
      </c>
      <c r="AM56" t="str">
        <f t="shared" si="113"/>
        <v>ACCIAIO</v>
      </c>
      <c r="AN56" s="4">
        <f t="shared" si="114"/>
        <v>24.478242759220471</v>
      </c>
      <c r="AO56" t="str">
        <f t="shared" si="115"/>
        <v>CALCESTRUZZO</v>
      </c>
      <c r="AR56" s="4">
        <f t="shared" si="116"/>
        <v>38</v>
      </c>
      <c r="AS56" t="str">
        <f t="shared" si="117"/>
        <v>ACCIAIO</v>
      </c>
      <c r="AT56" s="4">
        <f t="shared" si="118"/>
        <v>38</v>
      </c>
      <c r="AU56" t="str">
        <f t="shared" si="119"/>
        <v>ACCIAIO</v>
      </c>
      <c r="AX56" s="4">
        <f t="shared" si="120"/>
        <v>38</v>
      </c>
      <c r="AY56" t="str">
        <f t="shared" si="121"/>
        <v>ACCIAIO</v>
      </c>
      <c r="AZ56" s="4">
        <f t="shared" si="122"/>
        <v>38</v>
      </c>
      <c r="BA56" t="str">
        <f t="shared" si="123"/>
        <v>ACCIAIO</v>
      </c>
    </row>
    <row r="57" spans="2:53" ht="15" customHeight="1">
      <c r="W57" t="str">
        <f t="shared" si="61"/>
        <v>VGS_11</v>
      </c>
      <c r="X57" t="str">
        <f t="shared" si="16"/>
        <v>VGS_11_850</v>
      </c>
      <c r="Y57" t="str">
        <f t="shared" si="62"/>
        <v>11</v>
      </c>
      <c r="Z57">
        <f t="shared" si="124"/>
        <v>850</v>
      </c>
      <c r="AA57">
        <f t="shared" si="63"/>
        <v>30.4</v>
      </c>
      <c r="AB57" s="22">
        <f t="shared" si="86"/>
        <v>671</v>
      </c>
      <c r="AC57" s="4">
        <f t="shared" si="87"/>
        <v>750</v>
      </c>
      <c r="AD57" s="4">
        <f t="shared" si="88"/>
        <v>35.306985844405865</v>
      </c>
      <c r="AE57" s="25">
        <f t="shared" si="89"/>
        <v>39.027030907444932</v>
      </c>
      <c r="AF57" s="39">
        <f>MAX(14*Y57,150)</f>
        <v>154</v>
      </c>
      <c r="AG57" s="15">
        <f t="shared" si="90"/>
        <v>100</v>
      </c>
      <c r="AH57" s="42">
        <f t="shared" si="91"/>
        <v>12.5</v>
      </c>
      <c r="AI57" s="4">
        <f t="shared" si="92"/>
        <v>37.69649384919952</v>
      </c>
      <c r="AJ57" s="25">
        <f t="shared" si="93"/>
        <v>24.478242759220471</v>
      </c>
      <c r="AK57" s="4"/>
      <c r="AL57" s="4">
        <f t="shared" si="27"/>
        <v>30.4</v>
      </c>
      <c r="AM57" t="str">
        <f t="shared" si="28"/>
        <v>ACCIAIO</v>
      </c>
      <c r="AN57" s="4">
        <f t="shared" si="29"/>
        <v>24.478242759220471</v>
      </c>
      <c r="AO57" t="str">
        <f t="shared" si="30"/>
        <v>CALCESTRUZZO</v>
      </c>
      <c r="AR57" s="4">
        <f t="shared" si="94"/>
        <v>38</v>
      </c>
      <c r="AS57" t="str">
        <f t="shared" si="95"/>
        <v>ACCIAIO</v>
      </c>
      <c r="AT57" s="4">
        <f t="shared" si="96"/>
        <v>38</v>
      </c>
      <c r="AU57" t="str">
        <f t="shared" si="97"/>
        <v>ACCIAIO</v>
      </c>
      <c r="AX57" s="4">
        <f t="shared" si="98"/>
        <v>38</v>
      </c>
      <c r="AY57" t="str">
        <f t="shared" si="99"/>
        <v>ACCIAIO</v>
      </c>
      <c r="AZ57" s="4">
        <f t="shared" si="100"/>
        <v>38</v>
      </c>
      <c r="BA57" t="str">
        <f t="shared" si="101"/>
        <v>ACCIAIO</v>
      </c>
    </row>
    <row r="58" spans="2:53" ht="15" customHeight="1">
      <c r="W58" t="str">
        <f t="shared" si="61"/>
        <v>VGS_11</v>
      </c>
      <c r="X58" t="str">
        <f t="shared" si="16"/>
        <v>VGS_11_900</v>
      </c>
      <c r="Y58" t="str">
        <f t="shared" si="62"/>
        <v>11</v>
      </c>
      <c r="Z58">
        <f t="shared" si="124"/>
        <v>900</v>
      </c>
      <c r="AA58">
        <f t="shared" si="63"/>
        <v>30.4</v>
      </c>
      <c r="AB58" s="22">
        <f t="shared" si="86"/>
        <v>721</v>
      </c>
      <c r="AC58" s="4">
        <f t="shared" si="87"/>
        <v>800</v>
      </c>
      <c r="AD58" s="4">
        <f t="shared" si="88"/>
        <v>37.666226491767056</v>
      </c>
      <c r="AE58" s="25">
        <f t="shared" si="89"/>
        <v>41.361031740598477</v>
      </c>
      <c r="AF58" s="39">
        <f t="shared" ref="AF58:AF60" si="125">MAX(14*Y58,150)</f>
        <v>154</v>
      </c>
      <c r="AG58" s="15">
        <f t="shared" si="90"/>
        <v>100</v>
      </c>
      <c r="AH58" s="42">
        <f t="shared" si="91"/>
        <v>12.5</v>
      </c>
      <c r="AI58" s="4">
        <f t="shared" si="92"/>
        <v>37.69649384919952</v>
      </c>
      <c r="AJ58" s="25">
        <f t="shared" si="93"/>
        <v>24.478242759220471</v>
      </c>
      <c r="AK58" s="4"/>
      <c r="AL58" s="4">
        <f t="shared" si="27"/>
        <v>30.4</v>
      </c>
      <c r="AM58" t="str">
        <f t="shared" si="28"/>
        <v>ACCIAIO</v>
      </c>
      <c r="AN58" s="4">
        <f t="shared" si="29"/>
        <v>24.478242759220471</v>
      </c>
      <c r="AO58" t="str">
        <f t="shared" si="30"/>
        <v>CALCESTRUZZO</v>
      </c>
      <c r="AR58" s="4">
        <f t="shared" si="94"/>
        <v>38</v>
      </c>
      <c r="AS58" t="str">
        <f t="shared" si="95"/>
        <v>ACCIAIO</v>
      </c>
      <c r="AT58" s="4">
        <f t="shared" si="96"/>
        <v>38</v>
      </c>
      <c r="AU58" t="str">
        <f t="shared" si="97"/>
        <v>ACCIAIO</v>
      </c>
      <c r="AX58" s="4">
        <f t="shared" si="98"/>
        <v>38</v>
      </c>
      <c r="AY58" t="str">
        <f t="shared" si="99"/>
        <v>ACCIAIO</v>
      </c>
      <c r="AZ58" s="4">
        <f t="shared" si="100"/>
        <v>38</v>
      </c>
      <c r="BA58" t="str">
        <f t="shared" si="101"/>
        <v>ACCIAIO</v>
      </c>
    </row>
    <row r="59" spans="2:53" ht="15" customHeight="1">
      <c r="W59" t="str">
        <f t="shared" si="61"/>
        <v>VGS_11</v>
      </c>
      <c r="X59" t="str">
        <f t="shared" si="16"/>
        <v>VGS_11_950</v>
      </c>
      <c r="Y59" t="str">
        <f t="shared" si="62"/>
        <v>11</v>
      </c>
      <c r="Z59">
        <f t="shared" si="124"/>
        <v>950</v>
      </c>
      <c r="AA59">
        <f t="shared" si="63"/>
        <v>30.4</v>
      </c>
      <c r="AB59" s="22">
        <f t="shared" ref="AB59" si="126">Z59-AF59-25</f>
        <v>771</v>
      </c>
      <c r="AC59" s="4">
        <f t="shared" ref="AC59" si="127">Z59-AG59</f>
        <v>850</v>
      </c>
      <c r="AD59" s="4">
        <f t="shared" ref="AD59" si="128">((20*(Y59^0.8)*AB59^0.9)/1000)*$AE$10/$AE$9</f>
        <v>40.009149144306875</v>
      </c>
      <c r="AE59" s="25">
        <f t="shared" ref="AE59" si="129">((20*(Y59^0.8)*AC59^0.9)/1000)*$AE$10/$AE$9</f>
        <v>43.680480633754811</v>
      </c>
      <c r="AF59" s="39">
        <f t="shared" ref="AF59" si="130">MAX(14*Y59,150)</f>
        <v>154</v>
      </c>
      <c r="AG59" s="15">
        <f t="shared" ref="AG59" si="131">MAX(9*Y59,100)</f>
        <v>100</v>
      </c>
      <c r="AH59" s="42">
        <f t="shared" ref="AH59" si="132">VLOOKUP(W59,$E$11:$I$14,4,FALSE)</f>
        <v>12.5</v>
      </c>
      <c r="AI59" s="4">
        <f t="shared" ref="AI59" si="133">((Y59*PI())*AF59)*(AH59*$AE$18/$AE$17)/1000</f>
        <v>37.69649384919952</v>
      </c>
      <c r="AJ59" s="25">
        <f t="shared" ref="AJ59" si="134">((Y59*PI())*AG59)*(AH59*$AE$18/$AE$17)/1000</f>
        <v>24.478242759220471</v>
      </c>
      <c r="AK59" s="4"/>
      <c r="AL59" s="4">
        <f t="shared" ref="AL59" si="135">MIN(AA59,AD59,AI59)</f>
        <v>30.4</v>
      </c>
      <c r="AM59" t="str">
        <f t="shared" ref="AM59" si="136">IF(AL59=AA59,"ACCIAIO",IF(AL59=AD59,"LEGNO",IF(AL59=AI59," CALCESTRUZZO")))</f>
        <v>ACCIAIO</v>
      </c>
      <c r="AN59" s="4">
        <f t="shared" ref="AN59" si="137">MIN(AA59,AE59,AJ59)</f>
        <v>24.478242759220471</v>
      </c>
      <c r="AO59" t="str">
        <f t="shared" ref="AO59" si="138">IF(AN59=AA59,"ACCIAIO",IF(AN59=AE59,"LEGNO",IF(AN59=AJ59,"CALCESTRUZZO")))</f>
        <v>CALCESTRUZZO</v>
      </c>
      <c r="AR59" s="4">
        <f t="shared" ref="AR59" si="139">MIN(AA59*$AE$14,AD59*$AE$9/$AE$10,AI59*$AE$17/$AE$18)</f>
        <v>38</v>
      </c>
      <c r="AS59" t="str">
        <f t="shared" ref="AS59" si="140">IF(AR59=AA59*$AE$14,"ACCIAIO",IF(AR59=AD59*$AE$9/$AE$10,"LEGNO",IF(AR59=AI59*$AE$17/$AE$18," CALCESTRUZZO")))</f>
        <v>ACCIAIO</v>
      </c>
      <c r="AT59" s="4">
        <f t="shared" ref="AT59" si="141">MIN(AA59*$AE$14,AE59*$AE$9/$AE$10,AJ59*$AE$17/$AE$18)</f>
        <v>38</v>
      </c>
      <c r="AU59" t="str">
        <f t="shared" ref="AU59" si="142">IF(AT59=AA59*$AE$14,"ACCIAIO",IF(AT59=AE59*$AE$9/$AE$10,"LEGNO",IF(AT59=AJ59*$AE$17/$AE$18," CALCESTRUZZO")))</f>
        <v>ACCIAIO</v>
      </c>
      <c r="AX59" s="4">
        <f t="shared" ref="AX59" si="143">MIN(AA59*$AE$14,$AZ$18*AD59*$AE$9/$AE$10,AI59*$AE$17/$AE$18)</f>
        <v>38</v>
      </c>
      <c r="AY59" t="str">
        <f t="shared" ref="AY59" si="144">IF(AX59=AA59*$AE$14,"ACCIAIO",IF(AX59=$AZ$18*AD59*$AE$9/$AE$10,"LEGNO",IF(AX59=AI59*$AE$17/$AE$18," CALCESTRUZZO")))</f>
        <v>ACCIAIO</v>
      </c>
      <c r="AZ59" s="4">
        <f t="shared" ref="AZ59" si="145">MIN(AA59*$AE$14,$AZ$18*AE59*$AE$9/$AE$10,AJ59*$AE$17/$AE$18)</f>
        <v>38</v>
      </c>
      <c r="BA59" t="str">
        <f t="shared" ref="BA59" si="146">IF(AZ59=AA59*$AE$14,"ACCIAIO",IF(AZ59=$AZ$18*AE59*$AE$9/$AE$10,"LEGNO",IF(AZ59=AJ59*$AE$17/$AE$18," CALCESTRUZZO")))</f>
        <v>ACCIAIO</v>
      </c>
    </row>
    <row r="60" spans="2:53" ht="15" customHeight="1">
      <c r="W60" t="str">
        <f t="shared" si="61"/>
        <v>VGS_11</v>
      </c>
      <c r="X60" t="str">
        <f t="shared" si="16"/>
        <v>VGS_11_1000</v>
      </c>
      <c r="Y60" t="str">
        <f t="shared" si="62"/>
        <v>11</v>
      </c>
      <c r="Z60">
        <f t="shared" si="124"/>
        <v>1000</v>
      </c>
      <c r="AA60">
        <f t="shared" si="63"/>
        <v>30.4</v>
      </c>
      <c r="AB60" s="22">
        <f>Z60-AF60-25</f>
        <v>821</v>
      </c>
      <c r="AC60" s="4">
        <f>Z60-AG60</f>
        <v>900</v>
      </c>
      <c r="AD60" s="4">
        <f t="shared" si="88"/>
        <v>42.336915777162432</v>
      </c>
      <c r="AE60" s="25">
        <f t="shared" si="89"/>
        <v>45.986317534991151</v>
      </c>
      <c r="AF60" s="39">
        <f t="shared" si="125"/>
        <v>154</v>
      </c>
      <c r="AG60" s="15">
        <f t="shared" si="90"/>
        <v>100</v>
      </c>
      <c r="AH60" s="42">
        <f t="shared" si="91"/>
        <v>12.5</v>
      </c>
      <c r="AI60" s="4">
        <f t="shared" si="92"/>
        <v>37.69649384919952</v>
      </c>
      <c r="AJ60" s="25">
        <f t="shared" si="93"/>
        <v>24.478242759220471</v>
      </c>
      <c r="AK60" s="4"/>
      <c r="AL60" s="4">
        <f t="shared" si="27"/>
        <v>30.4</v>
      </c>
      <c r="AM60" t="str">
        <f t="shared" si="28"/>
        <v>ACCIAIO</v>
      </c>
      <c r="AN60" s="4">
        <f t="shared" si="29"/>
        <v>24.478242759220471</v>
      </c>
      <c r="AO60" t="str">
        <f t="shared" si="30"/>
        <v>CALCESTRUZZO</v>
      </c>
      <c r="AR60" s="4">
        <f t="shared" si="94"/>
        <v>38</v>
      </c>
      <c r="AS60" t="str">
        <f t="shared" si="95"/>
        <v>ACCIAIO</v>
      </c>
      <c r="AT60" s="4">
        <f t="shared" si="96"/>
        <v>38</v>
      </c>
      <c r="AU60" t="str">
        <f t="shared" si="97"/>
        <v>ACCIAIO</v>
      </c>
      <c r="AX60" s="4">
        <f t="shared" si="98"/>
        <v>38</v>
      </c>
      <c r="AY60" t="str">
        <f t="shared" si="99"/>
        <v>ACCIAIO</v>
      </c>
      <c r="AZ60" s="4">
        <f t="shared" si="100"/>
        <v>38</v>
      </c>
      <c r="BA60" t="str">
        <f t="shared" si="101"/>
        <v>ACCIAIO</v>
      </c>
    </row>
    <row r="61" spans="2:53" ht="15" customHeight="1">
      <c r="AB61" s="22"/>
      <c r="AC61" s="4"/>
      <c r="AD61" s="4"/>
      <c r="AE61" s="25"/>
      <c r="AF61" s="39"/>
      <c r="AG61" s="15"/>
      <c r="AH61" s="42"/>
      <c r="AI61" s="4"/>
      <c r="AJ61" s="25"/>
      <c r="AK61" s="4"/>
      <c r="AL61" s="4"/>
      <c r="AN61" s="4"/>
      <c r="AR61" s="4"/>
      <c r="AT61" s="4"/>
      <c r="AX61" s="4"/>
      <c r="AZ61" s="4"/>
    </row>
    <row r="62" spans="2:53" ht="15" customHeight="1">
      <c r="W62" t="str">
        <f t="shared" ref="W62:W81" si="147">$E$13</f>
        <v>VGS_13</v>
      </c>
      <c r="X62" t="str">
        <f t="shared" si="16"/>
        <v>VGS_13_300</v>
      </c>
      <c r="Y62" t="str">
        <f t="shared" si="62"/>
        <v>13</v>
      </c>
      <c r="Z62">
        <v>300</v>
      </c>
      <c r="AA62">
        <f t="shared" ref="AA62:AA81" si="148">$G$13/$AE$14</f>
        <v>42.4</v>
      </c>
      <c r="AB62" s="22">
        <f t="shared" ref="AB62:AB72" si="149">Z62-AF62-25</f>
        <v>93</v>
      </c>
      <c r="AC62" s="4">
        <f t="shared" ref="AC62:AC72" si="150">Z62-AG62</f>
        <v>183</v>
      </c>
      <c r="AD62" s="4">
        <f t="shared" ref="AD62:AD72" si="151">((20*(Y62^0.8)*AB62^0.9)/1000)*$AE$10/$AE$9</f>
        <v>6.8153091816201634</v>
      </c>
      <c r="AE62" s="25">
        <f t="shared" ref="AE62:AE72" si="152">((20*(Y62^0.8)*AC62^0.9)/1000)*$AE$10/$AE$9</f>
        <v>12.533053390927336</v>
      </c>
      <c r="AF62" s="39">
        <f t="shared" ref="AF62:AF72" si="153">MAX(14*Y62,150)</f>
        <v>182</v>
      </c>
      <c r="AG62" s="15">
        <f t="shared" ref="AG62:AG72" si="154">MAX(9*Y62,100)</f>
        <v>117</v>
      </c>
      <c r="AH62" s="42">
        <f t="shared" ref="AH62:AH72" si="155">VLOOKUP(W62,$E$11:$I$14,4,FALSE)</f>
        <v>12.5</v>
      </c>
      <c r="AI62" s="4">
        <f t="shared" ref="AI62:AI72" si="156">((Y62*PI())*AF62)*(AH62*$AE$18/$AE$17)/1000</f>
        <v>52.650474880286943</v>
      </c>
      <c r="AJ62" s="25">
        <f t="shared" ref="AJ62:AJ72" si="157">((Y62*PI())*AG62)*(AH62*$AE$18/$AE$17)/1000</f>
        <v>33.846733851613031</v>
      </c>
      <c r="AK62" s="4"/>
      <c r="AL62" s="4">
        <f t="shared" ref="AL62:AL72" si="158">MIN(AA62,AD62,AI62)</f>
        <v>6.8153091816201634</v>
      </c>
      <c r="AM62" t="str">
        <f t="shared" ref="AM62:AM72" si="159">IF(AL62=AA62,"ACCIAIO",IF(AL62=AD62,"LEGNO",IF(AL62=AI62," CALCESTRUZZO")))</f>
        <v>LEGNO</v>
      </c>
      <c r="AN62" s="4">
        <f t="shared" ref="AN62:AN72" si="160">MIN(AA62,AE62,AJ62)</f>
        <v>12.533053390927336</v>
      </c>
      <c r="AO62" t="str">
        <f t="shared" ref="AO62:AO72" si="161">IF(AN62=AA62,"ACCIAIO",IF(AN62=AE62,"LEGNO",IF(AN62=AJ62,"CALCESTRUZZO")))</f>
        <v>LEGNO</v>
      </c>
      <c r="AR62" s="4">
        <f t="shared" ref="AR62:AR72" si="162">MIN(AA62*$AE$14,AD62*$AE$9/$AE$10,AI62*$AE$17/$AE$18)</f>
        <v>9.2006673951872209</v>
      </c>
      <c r="AS62" t="str">
        <f t="shared" ref="AS62:AS72" si="163">IF(AR62=AA62*$AE$14,"ACCIAIO",IF(AR62=AD62*$AE$9/$AE$10,"LEGNO",IF(AR62=AI62*$AE$17/$AE$18," CALCESTRUZZO")))</f>
        <v>LEGNO</v>
      </c>
      <c r="AT62" s="4">
        <f t="shared" ref="AT62:AT72" si="164">MIN(AA62*$AE$14,AE62*$AE$9/$AE$10,AJ62*$AE$17/$AE$18)</f>
        <v>16.919622077751903</v>
      </c>
      <c r="AU62" t="str">
        <f t="shared" ref="AU62:AU72" si="165">IF(AT62=AA62*$AE$14,"ACCIAIO",IF(AT62=AE62*$AE$9/$AE$10,"LEGNO",IF(AT62=AJ62*$AE$17/$AE$18," CALCESTRUZZO")))</f>
        <v>LEGNO</v>
      </c>
      <c r="AX62" s="4">
        <f t="shared" ref="AX62:AX72" si="166">MIN(AA62*$AE$14,$AZ$18*AD62*$AE$9/$AE$10,AI62*$AE$17/$AE$18)</f>
        <v>13.801001092780831</v>
      </c>
      <c r="AY62" t="str">
        <f t="shared" ref="AY62:AY72" si="167">IF(AX62=AA62*$AE$14,"ACCIAIO",IF(AX62=$AZ$18*AD62*$AE$9/$AE$10,"LEGNO",IF(AX62=AI62*$AE$17/$AE$18," CALCESTRUZZO")))</f>
        <v>LEGNO</v>
      </c>
      <c r="AZ62" s="4">
        <f t="shared" ref="AZ62:AZ72" si="168">MIN(AA62*$AE$14,$AZ$18*AE62*$AE$9/$AE$10,AJ62*$AE$17/$AE$18)</f>
        <v>25.379433116627855</v>
      </c>
      <c r="BA62" t="str">
        <f t="shared" ref="BA62:BA72" si="169">IF(AZ62=AA62*$AE$14,"ACCIAIO",IF(AZ62=$AZ$18*AE62*$AE$9/$AE$10,"LEGNO",IF(AZ62=AJ62*$AE$17/$AE$18," CALCESTRUZZO")))</f>
        <v>LEGNO</v>
      </c>
    </row>
    <row r="63" spans="2:53" ht="15" customHeight="1">
      <c r="W63" t="str">
        <f t="shared" si="147"/>
        <v>VGS_13</v>
      </c>
      <c r="X63" t="str">
        <f t="shared" si="16"/>
        <v>VGS_13_350</v>
      </c>
      <c r="Y63" t="str">
        <f t="shared" si="62"/>
        <v>13</v>
      </c>
      <c r="Z63">
        <f t="shared" ref="Z63:Z76" si="170">Z62+50</f>
        <v>350</v>
      </c>
      <c r="AA63">
        <f t="shared" si="148"/>
        <v>42.4</v>
      </c>
      <c r="AB63" s="22">
        <f t="shared" si="149"/>
        <v>143</v>
      </c>
      <c r="AC63" s="4">
        <f t="shared" si="150"/>
        <v>233</v>
      </c>
      <c r="AD63" s="4">
        <f t="shared" si="151"/>
        <v>10.03814218016162</v>
      </c>
      <c r="AE63" s="25">
        <f t="shared" si="152"/>
        <v>15.576548724575362</v>
      </c>
      <c r="AF63" s="39">
        <f t="shared" si="153"/>
        <v>182</v>
      </c>
      <c r="AG63" s="15">
        <f t="shared" si="154"/>
        <v>117</v>
      </c>
      <c r="AH63" s="42">
        <f t="shared" si="155"/>
        <v>12.5</v>
      </c>
      <c r="AI63" s="4">
        <f t="shared" si="156"/>
        <v>52.650474880286943</v>
      </c>
      <c r="AJ63" s="25">
        <f t="shared" si="157"/>
        <v>33.846733851613031</v>
      </c>
      <c r="AK63" s="4"/>
      <c r="AL63" s="4">
        <f t="shared" si="158"/>
        <v>10.03814218016162</v>
      </c>
      <c r="AM63" t="str">
        <f t="shared" si="159"/>
        <v>LEGNO</v>
      </c>
      <c r="AN63" s="4">
        <f t="shared" si="160"/>
        <v>15.576548724575362</v>
      </c>
      <c r="AO63" t="str">
        <f t="shared" si="161"/>
        <v>LEGNO</v>
      </c>
      <c r="AR63" s="4">
        <f t="shared" si="162"/>
        <v>13.551491943218187</v>
      </c>
      <c r="AS63" t="str">
        <f t="shared" si="163"/>
        <v>LEGNO</v>
      </c>
      <c r="AT63" s="4">
        <f t="shared" si="164"/>
        <v>21.028340778176741</v>
      </c>
      <c r="AU63" t="str">
        <f t="shared" si="165"/>
        <v>LEGNO</v>
      </c>
      <c r="AX63" s="4">
        <f t="shared" si="166"/>
        <v>20.327237914827279</v>
      </c>
      <c r="AY63" t="str">
        <f t="shared" si="167"/>
        <v>LEGNO</v>
      </c>
      <c r="AZ63" s="4">
        <f t="shared" si="168"/>
        <v>31.542511167265111</v>
      </c>
      <c r="BA63" t="str">
        <f t="shared" si="169"/>
        <v>LEGNO</v>
      </c>
    </row>
    <row r="64" spans="2:53" ht="15" hidden="1" customHeight="1">
      <c r="W64" t="str">
        <f t="shared" si="147"/>
        <v>VGS_13</v>
      </c>
      <c r="X64" t="str">
        <f t="shared" si="16"/>
        <v>VGS_13_400</v>
      </c>
      <c r="Y64" t="str">
        <f t="shared" si="62"/>
        <v>13</v>
      </c>
      <c r="Z64">
        <f t="shared" si="170"/>
        <v>400</v>
      </c>
      <c r="AA64">
        <f t="shared" si="148"/>
        <v>42.4</v>
      </c>
      <c r="AB64" s="22">
        <f t="shared" si="149"/>
        <v>193</v>
      </c>
      <c r="AC64" s="4">
        <f t="shared" si="150"/>
        <v>283</v>
      </c>
      <c r="AD64" s="4">
        <f t="shared" si="151"/>
        <v>13.147781775293094</v>
      </c>
      <c r="AE64" s="25">
        <f t="shared" si="152"/>
        <v>18.554903541287185</v>
      </c>
      <c r="AF64" s="39">
        <f t="shared" si="153"/>
        <v>182</v>
      </c>
      <c r="AG64" s="15">
        <f t="shared" si="154"/>
        <v>117</v>
      </c>
      <c r="AH64" s="42">
        <f t="shared" si="155"/>
        <v>12.5</v>
      </c>
      <c r="AI64" s="4">
        <f t="shared" si="156"/>
        <v>52.650474880286943</v>
      </c>
      <c r="AJ64" s="25">
        <f t="shared" si="157"/>
        <v>33.846733851613031</v>
      </c>
      <c r="AK64" s="4"/>
      <c r="AL64" s="4">
        <f t="shared" si="158"/>
        <v>13.147781775293094</v>
      </c>
      <c r="AM64" t="str">
        <f t="shared" si="159"/>
        <v>LEGNO</v>
      </c>
      <c r="AN64" s="4">
        <f t="shared" si="160"/>
        <v>18.554903541287185</v>
      </c>
      <c r="AO64" t="str">
        <f t="shared" si="161"/>
        <v>LEGNO</v>
      </c>
      <c r="AR64" s="4">
        <f t="shared" si="162"/>
        <v>17.749505396645677</v>
      </c>
      <c r="AS64" t="str">
        <f t="shared" si="163"/>
        <v>LEGNO</v>
      </c>
      <c r="AT64" s="4">
        <f t="shared" si="164"/>
        <v>25.049119780737701</v>
      </c>
      <c r="AU64" t="str">
        <f t="shared" si="165"/>
        <v>LEGNO</v>
      </c>
      <c r="AX64" s="4">
        <f t="shared" si="166"/>
        <v>26.624258094968514</v>
      </c>
      <c r="AY64" t="str">
        <f t="shared" si="167"/>
        <v>LEGNO</v>
      </c>
      <c r="AZ64" s="4">
        <f t="shared" si="168"/>
        <v>37.573679671106547</v>
      </c>
      <c r="BA64" t="str">
        <f t="shared" si="169"/>
        <v>LEGNO</v>
      </c>
    </row>
    <row r="65" spans="23:53" ht="15" hidden="1" customHeight="1">
      <c r="W65" t="str">
        <f t="shared" si="147"/>
        <v>VGS_13</v>
      </c>
      <c r="X65" t="str">
        <f t="shared" si="16"/>
        <v>VGS_13_450</v>
      </c>
      <c r="Y65" t="str">
        <f t="shared" si="62"/>
        <v>13</v>
      </c>
      <c r="Z65">
        <f t="shared" si="170"/>
        <v>450</v>
      </c>
      <c r="AA65">
        <f t="shared" si="148"/>
        <v>42.4</v>
      </c>
      <c r="AB65" s="22">
        <f t="shared" si="149"/>
        <v>243</v>
      </c>
      <c r="AC65" s="4">
        <f t="shared" si="150"/>
        <v>333</v>
      </c>
      <c r="AD65" s="4">
        <f t="shared" si="151"/>
        <v>16.176946725177327</v>
      </c>
      <c r="AE65" s="25">
        <f t="shared" si="152"/>
        <v>21.480813236003915</v>
      </c>
      <c r="AF65" s="39">
        <f t="shared" si="153"/>
        <v>182</v>
      </c>
      <c r="AG65" s="15">
        <f t="shared" si="154"/>
        <v>117</v>
      </c>
      <c r="AH65" s="42">
        <f t="shared" si="155"/>
        <v>12.5</v>
      </c>
      <c r="AI65" s="4">
        <f t="shared" si="156"/>
        <v>52.650474880286943</v>
      </c>
      <c r="AJ65" s="25">
        <f t="shared" si="157"/>
        <v>33.846733851613031</v>
      </c>
      <c r="AK65" s="4"/>
      <c r="AL65" s="4">
        <f t="shared" si="158"/>
        <v>16.176946725177327</v>
      </c>
      <c r="AM65" t="str">
        <f t="shared" si="159"/>
        <v>LEGNO</v>
      </c>
      <c r="AN65" s="4">
        <f t="shared" si="160"/>
        <v>21.480813236003915</v>
      </c>
      <c r="AO65" t="str">
        <f t="shared" si="161"/>
        <v>LEGNO</v>
      </c>
      <c r="AR65" s="4">
        <f t="shared" si="162"/>
        <v>21.838878078989392</v>
      </c>
      <c r="AS65" t="str">
        <f t="shared" si="163"/>
        <v>LEGNO</v>
      </c>
      <c r="AT65" s="4">
        <f t="shared" si="164"/>
        <v>28.999097868605286</v>
      </c>
      <c r="AU65" t="str">
        <f t="shared" si="165"/>
        <v>LEGNO</v>
      </c>
      <c r="AX65" s="4">
        <f t="shared" si="166"/>
        <v>32.758317118484086</v>
      </c>
      <c r="AY65" t="str">
        <f t="shared" si="167"/>
        <v>LEGNO</v>
      </c>
      <c r="AZ65" s="4">
        <f t="shared" si="168"/>
        <v>43.498646802907935</v>
      </c>
      <c r="BA65" t="str">
        <f t="shared" si="169"/>
        <v>LEGNO</v>
      </c>
    </row>
    <row r="66" spans="23:53" ht="15" hidden="1" customHeight="1">
      <c r="W66" t="str">
        <f t="shared" si="147"/>
        <v>VGS_13</v>
      </c>
      <c r="X66" t="str">
        <f t="shared" si="16"/>
        <v>VGS_13_500</v>
      </c>
      <c r="Y66" t="str">
        <f t="shared" si="62"/>
        <v>13</v>
      </c>
      <c r="Z66">
        <f t="shared" si="170"/>
        <v>500</v>
      </c>
      <c r="AA66">
        <f t="shared" si="148"/>
        <v>42.4</v>
      </c>
      <c r="AB66" s="22">
        <f t="shared" si="149"/>
        <v>293</v>
      </c>
      <c r="AC66" s="4">
        <f t="shared" si="150"/>
        <v>383</v>
      </c>
      <c r="AD66" s="4">
        <f t="shared" si="151"/>
        <v>19.143959521969844</v>
      </c>
      <c r="AE66" s="25">
        <f t="shared" si="152"/>
        <v>24.362946167207827</v>
      </c>
      <c r="AF66" s="39">
        <f t="shared" si="153"/>
        <v>182</v>
      </c>
      <c r="AG66" s="15">
        <f t="shared" si="154"/>
        <v>117</v>
      </c>
      <c r="AH66" s="42">
        <f t="shared" si="155"/>
        <v>12.5</v>
      </c>
      <c r="AI66" s="4">
        <f t="shared" si="156"/>
        <v>52.650474880286943</v>
      </c>
      <c r="AJ66" s="25">
        <f t="shared" si="157"/>
        <v>33.846733851613031</v>
      </c>
      <c r="AK66" s="4"/>
      <c r="AL66" s="4">
        <f t="shared" si="158"/>
        <v>19.143959521969844</v>
      </c>
      <c r="AM66" t="str">
        <f t="shared" si="159"/>
        <v>LEGNO</v>
      </c>
      <c r="AN66" s="4">
        <f t="shared" si="160"/>
        <v>24.362946167207827</v>
      </c>
      <c r="AO66" t="str">
        <f t="shared" si="161"/>
        <v>LEGNO</v>
      </c>
      <c r="AR66" s="4">
        <f t="shared" si="162"/>
        <v>25.844345354659293</v>
      </c>
      <c r="AS66" t="str">
        <f t="shared" si="163"/>
        <v>LEGNO</v>
      </c>
      <c r="AT66" s="4">
        <f t="shared" si="164"/>
        <v>32.88997732573057</v>
      </c>
      <c r="AU66" t="str">
        <f t="shared" si="165"/>
        <v>LEGNO</v>
      </c>
      <c r="AX66" s="4">
        <f t="shared" si="166"/>
        <v>38.766518031988937</v>
      </c>
      <c r="AY66" t="str">
        <f t="shared" si="167"/>
        <v>LEGNO</v>
      </c>
      <c r="AZ66" s="4">
        <f t="shared" si="168"/>
        <v>49.334965988595854</v>
      </c>
      <c r="BA66" t="str">
        <f t="shared" si="169"/>
        <v>LEGNO</v>
      </c>
    </row>
    <row r="67" spans="23:53" ht="15" hidden="1" customHeight="1">
      <c r="W67" t="str">
        <f t="shared" si="147"/>
        <v>VGS_13</v>
      </c>
      <c r="X67" t="str">
        <f t="shared" si="16"/>
        <v>VGS_13_550</v>
      </c>
      <c r="Y67" t="str">
        <f t="shared" si="62"/>
        <v>13</v>
      </c>
      <c r="Z67">
        <f t="shared" si="170"/>
        <v>550</v>
      </c>
      <c r="AA67">
        <f t="shared" si="148"/>
        <v>42.4</v>
      </c>
      <c r="AB67" s="22">
        <f t="shared" si="149"/>
        <v>343</v>
      </c>
      <c r="AC67" s="4">
        <f t="shared" si="150"/>
        <v>433</v>
      </c>
      <c r="AD67" s="4">
        <f t="shared" si="151"/>
        <v>22.060513490303201</v>
      </c>
      <c r="AE67" s="25">
        <f t="shared" si="152"/>
        <v>27.207586321505691</v>
      </c>
      <c r="AF67" s="39">
        <f t="shared" si="153"/>
        <v>182</v>
      </c>
      <c r="AG67" s="15">
        <f t="shared" si="154"/>
        <v>117</v>
      </c>
      <c r="AH67" s="42">
        <f t="shared" si="155"/>
        <v>12.5</v>
      </c>
      <c r="AI67" s="4">
        <f t="shared" si="156"/>
        <v>52.650474880286943</v>
      </c>
      <c r="AJ67" s="25">
        <f t="shared" si="157"/>
        <v>33.846733851613031</v>
      </c>
      <c r="AK67" s="4"/>
      <c r="AL67" s="4">
        <f t="shared" si="158"/>
        <v>22.060513490303201</v>
      </c>
      <c r="AM67" t="str">
        <f t="shared" si="159"/>
        <v>LEGNO</v>
      </c>
      <c r="AN67" s="4">
        <f t="shared" si="160"/>
        <v>27.207586321505691</v>
      </c>
      <c r="AO67" t="str">
        <f t="shared" si="161"/>
        <v>LEGNO</v>
      </c>
      <c r="AR67" s="4">
        <f t="shared" si="162"/>
        <v>29.781693211909325</v>
      </c>
      <c r="AS67" t="str">
        <f t="shared" si="163"/>
        <v>LEGNO</v>
      </c>
      <c r="AT67" s="4">
        <f t="shared" si="164"/>
        <v>36.730241534032686</v>
      </c>
      <c r="AU67" t="str">
        <f t="shared" si="165"/>
        <v>LEGNO</v>
      </c>
      <c r="AX67" s="4">
        <f t="shared" si="166"/>
        <v>44.672539817863978</v>
      </c>
      <c r="AY67" t="str">
        <f t="shared" si="167"/>
        <v>LEGNO</v>
      </c>
      <c r="AZ67" s="4">
        <f t="shared" si="168"/>
        <v>53</v>
      </c>
      <c r="BA67" t="str">
        <f t="shared" si="169"/>
        <v>ACCIAIO</v>
      </c>
    </row>
    <row r="68" spans="23:53" ht="15" hidden="1" customHeight="1">
      <c r="W68" t="str">
        <f t="shared" si="147"/>
        <v>VGS_13</v>
      </c>
      <c r="X68" t="str">
        <f t="shared" si="16"/>
        <v>VGS_13_600</v>
      </c>
      <c r="Y68" t="str">
        <f t="shared" si="62"/>
        <v>13</v>
      </c>
      <c r="Z68">
        <f t="shared" si="170"/>
        <v>600</v>
      </c>
      <c r="AA68">
        <f t="shared" si="148"/>
        <v>42.4</v>
      </c>
      <c r="AB68" s="22">
        <f t="shared" si="149"/>
        <v>393</v>
      </c>
      <c r="AC68" s="4">
        <f t="shared" si="150"/>
        <v>483</v>
      </c>
      <c r="AD68" s="4">
        <f t="shared" si="151"/>
        <v>24.934703269655078</v>
      </c>
      <c r="AE68" s="25">
        <f t="shared" si="152"/>
        <v>30.019491170498103</v>
      </c>
      <c r="AF68" s="39">
        <f t="shared" si="153"/>
        <v>182</v>
      </c>
      <c r="AG68" s="15">
        <f t="shared" si="154"/>
        <v>117</v>
      </c>
      <c r="AH68" s="42">
        <f t="shared" si="155"/>
        <v>12.5</v>
      </c>
      <c r="AI68" s="4">
        <f t="shared" si="156"/>
        <v>52.650474880286943</v>
      </c>
      <c r="AJ68" s="25">
        <f t="shared" si="157"/>
        <v>33.846733851613031</v>
      </c>
      <c r="AK68" s="4"/>
      <c r="AL68" s="4">
        <f t="shared" si="158"/>
        <v>24.934703269655078</v>
      </c>
      <c r="AM68" t="str">
        <f t="shared" si="159"/>
        <v>LEGNO</v>
      </c>
      <c r="AN68" s="4">
        <f t="shared" si="160"/>
        <v>30.019491170498103</v>
      </c>
      <c r="AO68" t="str">
        <f t="shared" si="161"/>
        <v>LEGNO</v>
      </c>
      <c r="AR68" s="4">
        <f t="shared" si="162"/>
        <v>33.661849414034357</v>
      </c>
      <c r="AS68" t="str">
        <f t="shared" si="163"/>
        <v>LEGNO</v>
      </c>
      <c r="AT68" s="4">
        <f t="shared" si="164"/>
        <v>40.526313080172443</v>
      </c>
      <c r="AU68" t="str">
        <f t="shared" si="165"/>
        <v>LEGNO</v>
      </c>
      <c r="AX68" s="4">
        <f t="shared" si="166"/>
        <v>50.492774121051539</v>
      </c>
      <c r="AY68" t="str">
        <f t="shared" si="167"/>
        <v>LEGNO</v>
      </c>
      <c r="AZ68" s="4">
        <f t="shared" si="168"/>
        <v>53</v>
      </c>
      <c r="BA68" t="str">
        <f t="shared" si="169"/>
        <v>ACCIAIO</v>
      </c>
    </row>
    <row r="69" spans="23:53" ht="15" hidden="1" customHeight="1">
      <c r="W69" t="str">
        <f t="shared" si="147"/>
        <v>VGS_13</v>
      </c>
      <c r="X69" t="str">
        <f t="shared" si="16"/>
        <v>VGS_13_650</v>
      </c>
      <c r="Y69" t="str">
        <f t="shared" si="62"/>
        <v>13</v>
      </c>
      <c r="Z69">
        <f t="shared" si="170"/>
        <v>650</v>
      </c>
      <c r="AA69">
        <f t="shared" si="148"/>
        <v>42.4</v>
      </c>
      <c r="AB69" s="22">
        <f t="shared" si="149"/>
        <v>443</v>
      </c>
      <c r="AC69" s="4">
        <f t="shared" si="150"/>
        <v>533</v>
      </c>
      <c r="AD69" s="4">
        <f t="shared" si="151"/>
        <v>27.772454415856352</v>
      </c>
      <c r="AE69" s="25">
        <f t="shared" si="152"/>
        <v>32.802383152529231</v>
      </c>
      <c r="AF69" s="39">
        <f t="shared" si="153"/>
        <v>182</v>
      </c>
      <c r="AG69" s="15">
        <f t="shared" si="154"/>
        <v>117</v>
      </c>
      <c r="AH69" s="42">
        <f t="shared" si="155"/>
        <v>12.5</v>
      </c>
      <c r="AI69" s="4">
        <f t="shared" si="156"/>
        <v>52.650474880286943</v>
      </c>
      <c r="AJ69" s="25">
        <f t="shared" si="157"/>
        <v>33.846733851613031</v>
      </c>
      <c r="AK69" s="4"/>
      <c r="AL69" s="4">
        <f t="shared" si="158"/>
        <v>27.772454415856352</v>
      </c>
      <c r="AM69" t="str">
        <f t="shared" si="159"/>
        <v>LEGNO</v>
      </c>
      <c r="AN69" s="4">
        <f t="shared" si="160"/>
        <v>32.802383152529231</v>
      </c>
      <c r="AO69" t="str">
        <f t="shared" si="161"/>
        <v>LEGNO</v>
      </c>
      <c r="AR69" s="4">
        <f t="shared" si="162"/>
        <v>37.49281346140608</v>
      </c>
      <c r="AS69" t="str">
        <f t="shared" si="163"/>
        <v>LEGNO</v>
      </c>
      <c r="AT69" s="4">
        <f t="shared" si="164"/>
        <v>44.283217255914465</v>
      </c>
      <c r="AU69" t="str">
        <f t="shared" si="165"/>
        <v>LEGNO</v>
      </c>
      <c r="AX69" s="4">
        <f t="shared" si="166"/>
        <v>53</v>
      </c>
      <c r="AY69" t="str">
        <f t="shared" si="167"/>
        <v>ACCIAIO</v>
      </c>
      <c r="AZ69" s="4">
        <f t="shared" si="168"/>
        <v>53</v>
      </c>
      <c r="BA69" t="str">
        <f t="shared" si="169"/>
        <v>ACCIAIO</v>
      </c>
    </row>
    <row r="70" spans="23:53" ht="15" hidden="1" customHeight="1">
      <c r="W70" t="str">
        <f t="shared" si="147"/>
        <v>VGS_13</v>
      </c>
      <c r="X70" t="str">
        <f t="shared" si="16"/>
        <v>VGS_13_700</v>
      </c>
      <c r="Y70" t="str">
        <f t="shared" si="62"/>
        <v>13</v>
      </c>
      <c r="Z70">
        <f t="shared" si="170"/>
        <v>700</v>
      </c>
      <c r="AA70">
        <f t="shared" si="148"/>
        <v>42.4</v>
      </c>
      <c r="AB70" s="22">
        <f t="shared" si="149"/>
        <v>493</v>
      </c>
      <c r="AC70" s="4">
        <f t="shared" si="150"/>
        <v>583</v>
      </c>
      <c r="AD70" s="4">
        <f t="shared" si="151"/>
        <v>30.578285862543979</v>
      </c>
      <c r="AE70" s="25">
        <f t="shared" si="152"/>
        <v>35.559251297788762</v>
      </c>
      <c r="AF70" s="39">
        <f t="shared" si="153"/>
        <v>182</v>
      </c>
      <c r="AG70" s="15">
        <f t="shared" si="154"/>
        <v>117</v>
      </c>
      <c r="AH70" s="42">
        <f t="shared" si="155"/>
        <v>12.5</v>
      </c>
      <c r="AI70" s="4">
        <f t="shared" si="156"/>
        <v>52.650474880286943</v>
      </c>
      <c r="AJ70" s="25">
        <f t="shared" si="157"/>
        <v>33.846733851613031</v>
      </c>
      <c r="AK70" s="4"/>
      <c r="AL70" s="4">
        <f t="shared" si="158"/>
        <v>30.578285862543979</v>
      </c>
      <c r="AM70" t="str">
        <f t="shared" si="159"/>
        <v>LEGNO</v>
      </c>
      <c r="AN70" s="4">
        <f t="shared" si="160"/>
        <v>33.846733851613031</v>
      </c>
      <c r="AO70" t="str">
        <f t="shared" si="161"/>
        <v>CALCESTRUZZO</v>
      </c>
      <c r="AR70" s="4">
        <f t="shared" si="162"/>
        <v>41.280685914434372</v>
      </c>
      <c r="AS70" t="str">
        <f t="shared" si="163"/>
        <v>LEGNO</v>
      </c>
      <c r="AT70" s="4">
        <f t="shared" si="164"/>
        <v>48.00498925201483</v>
      </c>
      <c r="AU70" t="str">
        <f t="shared" si="165"/>
        <v>LEGNO</v>
      </c>
      <c r="AX70" s="4">
        <f t="shared" si="166"/>
        <v>53</v>
      </c>
      <c r="AY70" t="str">
        <f t="shared" si="167"/>
        <v>ACCIAIO</v>
      </c>
      <c r="AZ70" s="4">
        <f t="shared" si="168"/>
        <v>53</v>
      </c>
      <c r="BA70" t="str">
        <f t="shared" si="169"/>
        <v>ACCIAIO</v>
      </c>
    </row>
    <row r="71" spans="23:53" ht="15" hidden="1" customHeight="1">
      <c r="W71" t="str">
        <f t="shared" si="147"/>
        <v>VGS_13</v>
      </c>
      <c r="X71" t="str">
        <f t="shared" si="16"/>
        <v>VGS_13_750</v>
      </c>
      <c r="Y71" t="str">
        <f t="shared" si="62"/>
        <v>13</v>
      </c>
      <c r="Z71">
        <f t="shared" si="170"/>
        <v>750</v>
      </c>
      <c r="AA71">
        <f t="shared" si="148"/>
        <v>42.4</v>
      </c>
      <c r="AB71" s="22">
        <f t="shared" si="149"/>
        <v>543</v>
      </c>
      <c r="AC71" s="4">
        <f t="shared" si="150"/>
        <v>633</v>
      </c>
      <c r="AD71" s="4">
        <f t="shared" si="151"/>
        <v>33.355753493618074</v>
      </c>
      <c r="AE71" s="25">
        <f t="shared" si="152"/>
        <v>38.29254646659578</v>
      </c>
      <c r="AF71" s="39">
        <f t="shared" si="153"/>
        <v>182</v>
      </c>
      <c r="AG71" s="15">
        <f t="shared" si="154"/>
        <v>117</v>
      </c>
      <c r="AH71" s="42">
        <f t="shared" si="155"/>
        <v>12.5</v>
      </c>
      <c r="AI71" s="4">
        <f t="shared" si="156"/>
        <v>52.650474880286943</v>
      </c>
      <c r="AJ71" s="25">
        <f t="shared" si="157"/>
        <v>33.846733851613031</v>
      </c>
      <c r="AK71" s="4"/>
      <c r="AL71" s="4">
        <f t="shared" si="158"/>
        <v>33.355753493618074</v>
      </c>
      <c r="AM71" t="str">
        <f t="shared" si="159"/>
        <v>LEGNO</v>
      </c>
      <c r="AN71" s="4">
        <f t="shared" si="160"/>
        <v>33.846733851613031</v>
      </c>
      <c r="AO71" t="str">
        <f t="shared" si="161"/>
        <v>CALCESTRUZZO</v>
      </c>
      <c r="AR71" s="4">
        <f t="shared" si="162"/>
        <v>45.030267216384402</v>
      </c>
      <c r="AS71" t="str">
        <f t="shared" si="163"/>
        <v>LEGNO</v>
      </c>
      <c r="AT71" s="4">
        <f t="shared" si="164"/>
        <v>51.694937729904304</v>
      </c>
      <c r="AU71" t="str">
        <f t="shared" si="165"/>
        <v>LEGNO</v>
      </c>
      <c r="AX71" s="4">
        <f t="shared" si="166"/>
        <v>53</v>
      </c>
      <c r="AY71" t="str">
        <f t="shared" si="167"/>
        <v>ACCIAIO</v>
      </c>
      <c r="AZ71" s="4">
        <f t="shared" si="168"/>
        <v>53</v>
      </c>
      <c r="BA71" t="str">
        <f t="shared" si="169"/>
        <v>ACCIAIO</v>
      </c>
    </row>
    <row r="72" spans="23:53" ht="15" hidden="1" customHeight="1">
      <c r="W72" t="str">
        <f t="shared" si="147"/>
        <v>VGS_13</v>
      </c>
      <c r="X72" t="str">
        <f t="shared" si="16"/>
        <v>VGS_13_800</v>
      </c>
      <c r="Y72" t="str">
        <f t="shared" si="62"/>
        <v>13</v>
      </c>
      <c r="Z72">
        <f t="shared" si="170"/>
        <v>800</v>
      </c>
      <c r="AA72">
        <f t="shared" si="148"/>
        <v>42.4</v>
      </c>
      <c r="AB72" s="22">
        <f t="shared" si="149"/>
        <v>593</v>
      </c>
      <c r="AC72" s="4">
        <f t="shared" si="150"/>
        <v>683</v>
      </c>
      <c r="AD72" s="4">
        <f t="shared" si="151"/>
        <v>36.107725571316621</v>
      </c>
      <c r="AE72" s="25">
        <f t="shared" si="152"/>
        <v>41.004313221866788</v>
      </c>
      <c r="AF72" s="39">
        <f t="shared" si="153"/>
        <v>182</v>
      </c>
      <c r="AG72" s="15">
        <f t="shared" si="154"/>
        <v>117</v>
      </c>
      <c r="AH72" s="42">
        <f t="shared" si="155"/>
        <v>12.5</v>
      </c>
      <c r="AI72" s="4">
        <f t="shared" si="156"/>
        <v>52.650474880286943</v>
      </c>
      <c r="AJ72" s="25">
        <f t="shared" si="157"/>
        <v>33.846733851613031</v>
      </c>
      <c r="AK72" s="4"/>
      <c r="AL72" s="4">
        <f t="shared" si="158"/>
        <v>36.107725571316621</v>
      </c>
      <c r="AM72" t="str">
        <f t="shared" si="159"/>
        <v>LEGNO</v>
      </c>
      <c r="AN72" s="4">
        <f t="shared" si="160"/>
        <v>33.846733851613031</v>
      </c>
      <c r="AO72" t="str">
        <f t="shared" si="161"/>
        <v>CALCESTRUZZO</v>
      </c>
      <c r="AR72" s="4">
        <f t="shared" si="162"/>
        <v>48.745429521277444</v>
      </c>
      <c r="AS72" t="str">
        <f t="shared" si="163"/>
        <v>LEGNO</v>
      </c>
      <c r="AT72" s="4">
        <f t="shared" si="164"/>
        <v>53</v>
      </c>
      <c r="AU72" t="str">
        <f t="shared" si="165"/>
        <v>ACCIAIO</v>
      </c>
      <c r="AX72" s="4">
        <f t="shared" si="166"/>
        <v>53</v>
      </c>
      <c r="AY72" t="str">
        <f t="shared" si="167"/>
        <v>ACCIAIO</v>
      </c>
      <c r="AZ72" s="4">
        <f t="shared" si="168"/>
        <v>53</v>
      </c>
      <c r="BA72" t="str">
        <f t="shared" si="169"/>
        <v>ACCIAIO</v>
      </c>
    </row>
    <row r="73" spans="23:53" ht="15" hidden="1" customHeight="1">
      <c r="W73" t="str">
        <f t="shared" si="147"/>
        <v>VGS_13</v>
      </c>
      <c r="X73" t="str">
        <f t="shared" ref="X73:X81" si="171">_xlfn.CONCAT(W73,"_",Z73)</f>
        <v>VGS_13_850</v>
      </c>
      <c r="Y73" t="str">
        <f t="shared" si="62"/>
        <v>13</v>
      </c>
      <c r="Z73">
        <f t="shared" si="170"/>
        <v>850</v>
      </c>
      <c r="AA73">
        <f t="shared" si="148"/>
        <v>42.4</v>
      </c>
      <c r="AB73" s="22">
        <f t="shared" ref="AB73:AB81" si="172">Z73-AF73-25</f>
        <v>643</v>
      </c>
      <c r="AC73" s="4">
        <f t="shared" si="87"/>
        <v>733</v>
      </c>
      <c r="AD73" s="4">
        <f t="shared" ref="AD73:AD81" si="173">((20*(Y73^0.8)*AB73^0.9)/1000)*$AE$10/$AE$9</f>
        <v>38.836562675450516</v>
      </c>
      <c r="AE73" s="25">
        <f t="shared" ref="AE73:AE81" si="174">((20*(Y73^0.8)*AC73^0.9)/1000)*$AE$10/$AE$9</f>
        <v>43.696282061097719</v>
      </c>
      <c r="AF73" s="39">
        <f t="shared" ref="AF73:AF81" si="175">MAX(14*Y73,150)</f>
        <v>182</v>
      </c>
      <c r="AG73" s="15">
        <f t="shared" ref="AG73:AG81" si="176">MAX(9*Y73,100)</f>
        <v>117</v>
      </c>
      <c r="AH73" s="42">
        <f t="shared" ref="AH73:AH81" si="177">VLOOKUP(W73,$E$11:$I$14,4,FALSE)</f>
        <v>12.5</v>
      </c>
      <c r="AI73" s="4">
        <f t="shared" ref="AI73:AI81" si="178">((Y73*PI())*AF73)*(AH73*$AE$18/$AE$17)/1000</f>
        <v>52.650474880286943</v>
      </c>
      <c r="AJ73" s="25">
        <f t="shared" ref="AJ73:AJ81" si="179">((Y73*PI())*AG73)*(AH73*$AE$18/$AE$17)/1000</f>
        <v>33.846733851613031</v>
      </c>
      <c r="AK73" s="4"/>
      <c r="AL73" s="4">
        <f t="shared" si="27"/>
        <v>38.836562675450516</v>
      </c>
      <c r="AM73" t="str">
        <f t="shared" si="28"/>
        <v>LEGNO</v>
      </c>
      <c r="AN73" s="4">
        <f t="shared" si="29"/>
        <v>33.846733851613031</v>
      </c>
      <c r="AO73" t="str">
        <f t="shared" si="30"/>
        <v>CALCESTRUZZO</v>
      </c>
      <c r="AR73" s="4">
        <f t="shared" ref="AR73:AR81" si="180">MIN(AA73*$AE$14,AD73*$AE$9/$AE$10,AI73*$AE$17/$AE$18)</f>
        <v>52.429359611858203</v>
      </c>
      <c r="AS73" t="str">
        <f t="shared" ref="AS73:AS81" si="181">IF(AR73=AA73*$AE$14,"ACCIAIO",IF(AR73=AD73*$AE$9/$AE$10,"LEGNO",IF(AR73=AI73*$AE$17/$AE$18," CALCESTRUZZO")))</f>
        <v>LEGNO</v>
      </c>
      <c r="AT73" s="4">
        <f t="shared" ref="AT73:AT81" si="182">MIN(AA73*$AE$14,AE73*$AE$9/$AE$10,AJ73*$AE$17/$AE$18)</f>
        <v>53</v>
      </c>
      <c r="AU73" t="str">
        <f t="shared" ref="AU73:AU81" si="183">IF(AT73=AA73*$AE$14,"ACCIAIO",IF(AT73=AE73*$AE$9/$AE$10,"LEGNO",IF(AT73=AJ73*$AE$17/$AE$18," CALCESTRUZZO")))</f>
        <v>ACCIAIO</v>
      </c>
      <c r="AX73" s="4">
        <f t="shared" ref="AX73:AX81" si="184">MIN(AA73*$AE$14,$AZ$18*AD73*$AE$9/$AE$10,AI73*$AE$17/$AE$18)</f>
        <v>53</v>
      </c>
      <c r="AY73" t="str">
        <f t="shared" ref="AY73:AY81" si="185">IF(AX73=AA73*$AE$14,"ACCIAIO",IF(AX73=$AZ$18*AD73*$AE$9/$AE$10,"LEGNO",IF(AX73=AI73*$AE$17/$AE$18," CALCESTRUZZO")))</f>
        <v>ACCIAIO</v>
      </c>
      <c r="AZ73" s="4">
        <f t="shared" ref="AZ73:AZ81" si="186">MIN(AA73*$AE$14,$AZ$18*AE73*$AE$9/$AE$10,AJ73*$AE$17/$AE$18)</f>
        <v>53</v>
      </c>
      <c r="BA73" t="str">
        <f t="shared" ref="BA73:BA81" si="187">IF(AZ73=AA73*$AE$14,"ACCIAIO",IF(AZ73=$AZ$18*AE73*$AE$9/$AE$10,"LEGNO",IF(AZ73=AJ73*$AE$17/$AE$18," CALCESTRUZZO")))</f>
        <v>ACCIAIO</v>
      </c>
    </row>
    <row r="74" spans="23:53" ht="15" hidden="1" customHeight="1">
      <c r="W74" t="str">
        <f t="shared" si="147"/>
        <v>VGS_13</v>
      </c>
      <c r="X74" t="str">
        <f t="shared" si="171"/>
        <v>VGS_13_900</v>
      </c>
      <c r="Y74" t="str">
        <f t="shared" si="62"/>
        <v>13</v>
      </c>
      <c r="Z74">
        <f t="shared" si="170"/>
        <v>900</v>
      </c>
      <c r="AA74">
        <f t="shared" si="148"/>
        <v>42.4</v>
      </c>
      <c r="AB74" s="22">
        <f t="shared" si="172"/>
        <v>693</v>
      </c>
      <c r="AC74" s="4">
        <f t="shared" si="87"/>
        <v>783</v>
      </c>
      <c r="AD74" s="4">
        <f t="shared" si="173"/>
        <v>41.544240159065303</v>
      </c>
      <c r="AE74" s="25">
        <f t="shared" si="174"/>
        <v>46.369935827632183</v>
      </c>
      <c r="AF74" s="39">
        <f t="shared" si="175"/>
        <v>182</v>
      </c>
      <c r="AG74" s="15">
        <f t="shared" si="176"/>
        <v>117</v>
      </c>
      <c r="AH74" s="42">
        <f t="shared" si="177"/>
        <v>12.5</v>
      </c>
      <c r="AI74" s="4">
        <f t="shared" si="178"/>
        <v>52.650474880286943</v>
      </c>
      <c r="AJ74" s="25">
        <f t="shared" si="179"/>
        <v>33.846733851613031</v>
      </c>
      <c r="AK74" s="4"/>
      <c r="AL74" s="4">
        <f t="shared" si="27"/>
        <v>41.544240159065303</v>
      </c>
      <c r="AM74" t="str">
        <f t="shared" si="28"/>
        <v>LEGNO</v>
      </c>
      <c r="AN74" s="4">
        <f t="shared" si="29"/>
        <v>33.846733851613031</v>
      </c>
      <c r="AO74" t="str">
        <f t="shared" si="30"/>
        <v>CALCESTRUZZO</v>
      </c>
      <c r="AR74" s="4">
        <f t="shared" si="180"/>
        <v>53</v>
      </c>
      <c r="AS74" t="str">
        <f t="shared" si="181"/>
        <v>ACCIAIO</v>
      </c>
      <c r="AT74" s="4">
        <f t="shared" si="182"/>
        <v>53</v>
      </c>
      <c r="AU74" t="str">
        <f t="shared" si="183"/>
        <v>ACCIAIO</v>
      </c>
      <c r="AX74" s="4">
        <f t="shared" si="184"/>
        <v>53</v>
      </c>
      <c r="AY74" t="str">
        <f t="shared" si="185"/>
        <v>ACCIAIO</v>
      </c>
      <c r="AZ74" s="4">
        <f t="shared" si="186"/>
        <v>53</v>
      </c>
      <c r="BA74" t="str">
        <f t="shared" si="187"/>
        <v>ACCIAIO</v>
      </c>
    </row>
    <row r="75" spans="23:53" ht="15" hidden="1" customHeight="1">
      <c r="W75" t="str">
        <f t="shared" si="147"/>
        <v>VGS_13</v>
      </c>
      <c r="X75" t="str">
        <f t="shared" si="171"/>
        <v>VGS_13_950</v>
      </c>
      <c r="Y75" t="str">
        <f t="shared" si="62"/>
        <v>13</v>
      </c>
      <c r="Z75">
        <f t="shared" si="170"/>
        <v>950</v>
      </c>
      <c r="AA75">
        <f t="shared" si="148"/>
        <v>42.4</v>
      </c>
      <c r="AB75" s="22">
        <f t="shared" si="172"/>
        <v>743</v>
      </c>
      <c r="AC75" s="4">
        <f t="shared" si="87"/>
        <v>833</v>
      </c>
      <c r="AD75" s="4">
        <f t="shared" si="173"/>
        <v>44.232434329458506</v>
      </c>
      <c r="AE75" s="25">
        <f t="shared" si="174"/>
        <v>49.026558723594036</v>
      </c>
      <c r="AF75" s="39">
        <f t="shared" si="175"/>
        <v>182</v>
      </c>
      <c r="AG75" s="15">
        <f t="shared" si="176"/>
        <v>117</v>
      </c>
      <c r="AH75" s="42">
        <f t="shared" si="177"/>
        <v>12.5</v>
      </c>
      <c r="AI75" s="4">
        <f t="shared" si="178"/>
        <v>52.650474880286943</v>
      </c>
      <c r="AJ75" s="25">
        <f t="shared" si="179"/>
        <v>33.846733851613031</v>
      </c>
      <c r="AK75" s="4"/>
      <c r="AL75" s="4">
        <f t="shared" si="27"/>
        <v>42.4</v>
      </c>
      <c r="AM75" t="str">
        <f t="shared" si="28"/>
        <v>ACCIAIO</v>
      </c>
      <c r="AN75" s="4">
        <f t="shared" si="29"/>
        <v>33.846733851613031</v>
      </c>
      <c r="AO75" t="str">
        <f t="shared" si="30"/>
        <v>CALCESTRUZZO</v>
      </c>
      <c r="AR75" s="4">
        <f t="shared" si="180"/>
        <v>53</v>
      </c>
      <c r="AS75" t="str">
        <f t="shared" si="181"/>
        <v>ACCIAIO</v>
      </c>
      <c r="AT75" s="4">
        <f t="shared" si="182"/>
        <v>53</v>
      </c>
      <c r="AU75" t="str">
        <f t="shared" si="183"/>
        <v>ACCIAIO</v>
      </c>
      <c r="AX75" s="4">
        <f t="shared" si="184"/>
        <v>53</v>
      </c>
      <c r="AY75" t="str">
        <f t="shared" si="185"/>
        <v>ACCIAIO</v>
      </c>
      <c r="AZ75" s="4">
        <f t="shared" si="186"/>
        <v>53</v>
      </c>
      <c r="BA75" t="str">
        <f t="shared" si="187"/>
        <v>ACCIAIO</v>
      </c>
    </row>
    <row r="76" spans="23:53" ht="15" hidden="1" customHeight="1">
      <c r="W76" t="str">
        <f t="shared" si="147"/>
        <v>VGS_13</v>
      </c>
      <c r="X76" t="str">
        <f t="shared" si="171"/>
        <v>VGS_13_1000</v>
      </c>
      <c r="Y76" t="str">
        <f t="shared" si="62"/>
        <v>13</v>
      </c>
      <c r="Z76">
        <f t="shared" si="170"/>
        <v>1000</v>
      </c>
      <c r="AA76">
        <f t="shared" si="148"/>
        <v>42.4</v>
      </c>
      <c r="AB76" s="22">
        <f t="shared" si="172"/>
        <v>793</v>
      </c>
      <c r="AC76" s="4">
        <f t="shared" si="87"/>
        <v>883</v>
      </c>
      <c r="AD76" s="4">
        <f t="shared" si="173"/>
        <v>46.902584829180157</v>
      </c>
      <c r="AE76" s="25">
        <f t="shared" si="174"/>
        <v>51.667273256691367</v>
      </c>
      <c r="AF76" s="39">
        <f t="shared" si="175"/>
        <v>182</v>
      </c>
      <c r="AG76" s="15">
        <f t="shared" si="176"/>
        <v>117</v>
      </c>
      <c r="AH76" s="42">
        <f t="shared" si="177"/>
        <v>12.5</v>
      </c>
      <c r="AI76" s="4">
        <f t="shared" si="178"/>
        <v>52.650474880286943</v>
      </c>
      <c r="AJ76" s="25">
        <f t="shared" si="179"/>
        <v>33.846733851613031</v>
      </c>
      <c r="AK76" s="4"/>
      <c r="AL76" s="4">
        <f t="shared" si="27"/>
        <v>42.4</v>
      </c>
      <c r="AM76" t="str">
        <f t="shared" si="28"/>
        <v>ACCIAIO</v>
      </c>
      <c r="AN76" s="4">
        <f t="shared" si="29"/>
        <v>33.846733851613031</v>
      </c>
      <c r="AO76" t="str">
        <f t="shared" si="30"/>
        <v>CALCESTRUZZO</v>
      </c>
      <c r="AR76" s="4">
        <f t="shared" si="180"/>
        <v>53</v>
      </c>
      <c r="AS76" t="str">
        <f t="shared" si="181"/>
        <v>ACCIAIO</v>
      </c>
      <c r="AT76" s="4">
        <f t="shared" si="182"/>
        <v>53</v>
      </c>
      <c r="AU76" t="str">
        <f t="shared" si="183"/>
        <v>ACCIAIO</v>
      </c>
      <c r="AX76" s="4">
        <f t="shared" si="184"/>
        <v>53</v>
      </c>
      <c r="AY76" t="str">
        <f t="shared" si="185"/>
        <v>ACCIAIO</v>
      </c>
      <c r="AZ76" s="4">
        <f t="shared" si="186"/>
        <v>53</v>
      </c>
      <c r="BA76" t="str">
        <f t="shared" si="187"/>
        <v>ACCIAIO</v>
      </c>
    </row>
    <row r="77" spans="23:53" ht="15" hidden="1" customHeight="1">
      <c r="W77" t="str">
        <f t="shared" si="147"/>
        <v>VGS_13</v>
      </c>
      <c r="X77" t="str">
        <f t="shared" si="171"/>
        <v>VGS_13_1100</v>
      </c>
      <c r="Y77" t="str">
        <f t="shared" si="62"/>
        <v>13</v>
      </c>
      <c r="Z77">
        <f t="shared" ref="Z77:Z79" si="188">Z76+100</f>
        <v>1100</v>
      </c>
      <c r="AA77">
        <f t="shared" si="148"/>
        <v>42.4</v>
      </c>
      <c r="AB77" s="22">
        <f t="shared" si="172"/>
        <v>893</v>
      </c>
      <c r="AC77" s="4">
        <f t="shared" si="87"/>
        <v>983</v>
      </c>
      <c r="AD77" s="4">
        <f t="shared" si="173"/>
        <v>52.193596287554854</v>
      </c>
      <c r="AE77" s="25">
        <f t="shared" si="174"/>
        <v>56.904822769046994</v>
      </c>
      <c r="AF77" s="39">
        <f t="shared" si="175"/>
        <v>182</v>
      </c>
      <c r="AG77" s="15">
        <f t="shared" si="176"/>
        <v>117</v>
      </c>
      <c r="AH77" s="42">
        <f t="shared" si="177"/>
        <v>12.5</v>
      </c>
      <c r="AI77" s="4">
        <f t="shared" si="178"/>
        <v>52.650474880286943</v>
      </c>
      <c r="AJ77" s="25">
        <f t="shared" si="179"/>
        <v>33.846733851613031</v>
      </c>
      <c r="AK77" s="4"/>
      <c r="AL77" s="4">
        <f t="shared" si="27"/>
        <v>42.4</v>
      </c>
      <c r="AM77" t="str">
        <f t="shared" si="28"/>
        <v>ACCIAIO</v>
      </c>
      <c r="AN77" s="4">
        <f t="shared" si="29"/>
        <v>33.846733851613031</v>
      </c>
      <c r="AO77" t="str">
        <f t="shared" si="30"/>
        <v>CALCESTRUZZO</v>
      </c>
      <c r="AR77" s="4">
        <f t="shared" si="180"/>
        <v>53</v>
      </c>
      <c r="AS77" t="str">
        <f t="shared" si="181"/>
        <v>ACCIAIO</v>
      </c>
      <c r="AT77" s="4">
        <f t="shared" si="182"/>
        <v>53</v>
      </c>
      <c r="AU77" t="str">
        <f t="shared" si="183"/>
        <v>ACCIAIO</v>
      </c>
      <c r="AX77" s="4">
        <f t="shared" si="184"/>
        <v>53</v>
      </c>
      <c r="AY77" t="str">
        <f t="shared" si="185"/>
        <v>ACCIAIO</v>
      </c>
      <c r="AZ77" s="4">
        <f t="shared" si="186"/>
        <v>53</v>
      </c>
      <c r="BA77" t="str">
        <f t="shared" si="187"/>
        <v>ACCIAIO</v>
      </c>
    </row>
    <row r="78" spans="23:53" ht="15" hidden="1" customHeight="1">
      <c r="W78" t="str">
        <f t="shared" si="147"/>
        <v>VGS_13</v>
      </c>
      <c r="X78" t="str">
        <f t="shared" si="171"/>
        <v>VGS_13_1200</v>
      </c>
      <c r="Y78" t="str">
        <f t="shared" si="62"/>
        <v>13</v>
      </c>
      <c r="Z78">
        <f t="shared" si="188"/>
        <v>1200</v>
      </c>
      <c r="AA78">
        <f t="shared" si="148"/>
        <v>42.4</v>
      </c>
      <c r="AB78" s="22">
        <f t="shared" si="172"/>
        <v>993</v>
      </c>
      <c r="AC78" s="4">
        <f t="shared" si="87"/>
        <v>1083</v>
      </c>
      <c r="AD78" s="4">
        <f t="shared" si="173"/>
        <v>57.42555915891932</v>
      </c>
      <c r="AE78" s="25">
        <f t="shared" si="174"/>
        <v>62.089265170119475</v>
      </c>
      <c r="AF78" s="39">
        <f t="shared" si="175"/>
        <v>182</v>
      </c>
      <c r="AG78" s="15">
        <f t="shared" si="176"/>
        <v>117</v>
      </c>
      <c r="AH78" s="42">
        <f t="shared" si="177"/>
        <v>12.5</v>
      </c>
      <c r="AI78" s="4">
        <f t="shared" si="178"/>
        <v>52.650474880286943</v>
      </c>
      <c r="AJ78" s="25">
        <f t="shared" si="179"/>
        <v>33.846733851613031</v>
      </c>
      <c r="AK78" s="4"/>
      <c r="AL78" s="4">
        <f t="shared" si="27"/>
        <v>42.4</v>
      </c>
      <c r="AM78" t="str">
        <f t="shared" si="28"/>
        <v>ACCIAIO</v>
      </c>
      <c r="AN78" s="4">
        <f t="shared" si="29"/>
        <v>33.846733851613031</v>
      </c>
      <c r="AO78" t="str">
        <f t="shared" si="30"/>
        <v>CALCESTRUZZO</v>
      </c>
      <c r="AR78" s="4">
        <f t="shared" si="180"/>
        <v>53</v>
      </c>
      <c r="AS78" t="str">
        <f t="shared" si="181"/>
        <v>ACCIAIO</v>
      </c>
      <c r="AT78" s="4">
        <f t="shared" si="182"/>
        <v>53</v>
      </c>
      <c r="AU78" t="str">
        <f t="shared" si="183"/>
        <v>ACCIAIO</v>
      </c>
      <c r="AX78" s="4">
        <f t="shared" si="184"/>
        <v>53</v>
      </c>
      <c r="AY78" t="str">
        <f t="shared" si="185"/>
        <v>ACCIAIO</v>
      </c>
      <c r="AZ78" s="4">
        <f t="shared" si="186"/>
        <v>53</v>
      </c>
      <c r="BA78" t="str">
        <f t="shared" si="187"/>
        <v>ACCIAIO</v>
      </c>
    </row>
    <row r="79" spans="23:53" ht="15" hidden="1" customHeight="1">
      <c r="W79" t="str">
        <f t="shared" si="147"/>
        <v>VGS_13</v>
      </c>
      <c r="X79" t="str">
        <f t="shared" si="171"/>
        <v>VGS_13_1300</v>
      </c>
      <c r="Y79" t="str">
        <f t="shared" si="62"/>
        <v>13</v>
      </c>
      <c r="Z79">
        <f t="shared" si="188"/>
        <v>1300</v>
      </c>
      <c r="AA79">
        <f t="shared" si="148"/>
        <v>42.4</v>
      </c>
      <c r="AB79" s="22">
        <f t="shared" si="172"/>
        <v>1093</v>
      </c>
      <c r="AC79" s="4">
        <f t="shared" si="87"/>
        <v>1183</v>
      </c>
      <c r="AD79" s="4">
        <f t="shared" si="173"/>
        <v>62.605005028979662</v>
      </c>
      <c r="AE79" s="25">
        <f t="shared" si="174"/>
        <v>67.225985762114988</v>
      </c>
      <c r="AF79" s="39">
        <f t="shared" si="175"/>
        <v>182</v>
      </c>
      <c r="AG79" s="15">
        <f t="shared" si="176"/>
        <v>117</v>
      </c>
      <c r="AH79" s="42">
        <f t="shared" si="177"/>
        <v>12.5</v>
      </c>
      <c r="AI79" s="4">
        <f t="shared" si="178"/>
        <v>52.650474880286943</v>
      </c>
      <c r="AJ79" s="25">
        <f t="shared" si="179"/>
        <v>33.846733851613031</v>
      </c>
      <c r="AK79" s="4"/>
      <c r="AL79" s="4">
        <f t="shared" si="27"/>
        <v>42.4</v>
      </c>
      <c r="AM79" t="str">
        <f t="shared" si="28"/>
        <v>ACCIAIO</v>
      </c>
      <c r="AN79" s="4">
        <f t="shared" si="29"/>
        <v>33.846733851613031</v>
      </c>
      <c r="AO79" t="str">
        <f t="shared" si="30"/>
        <v>CALCESTRUZZO</v>
      </c>
      <c r="AR79" s="4">
        <f t="shared" si="180"/>
        <v>53</v>
      </c>
      <c r="AS79" t="str">
        <f t="shared" si="181"/>
        <v>ACCIAIO</v>
      </c>
      <c r="AT79" s="4">
        <f t="shared" si="182"/>
        <v>53</v>
      </c>
      <c r="AU79" t="str">
        <f t="shared" si="183"/>
        <v>ACCIAIO</v>
      </c>
      <c r="AX79" s="4">
        <f t="shared" si="184"/>
        <v>53</v>
      </c>
      <c r="AY79" t="str">
        <f t="shared" si="185"/>
        <v>ACCIAIO</v>
      </c>
      <c r="AZ79" s="4">
        <f t="shared" si="186"/>
        <v>53</v>
      </c>
      <c r="BA79" t="str">
        <f t="shared" si="187"/>
        <v>ACCIAIO</v>
      </c>
    </row>
    <row r="80" spans="23:53" ht="15" hidden="1" customHeight="1">
      <c r="W80" t="str">
        <f t="shared" si="147"/>
        <v>VGS_13</v>
      </c>
      <c r="X80" t="str">
        <f t="shared" si="171"/>
        <v>VGS_13_1400</v>
      </c>
      <c r="Y80" t="str">
        <f t="shared" si="62"/>
        <v>13</v>
      </c>
      <c r="Z80">
        <f t="shared" ref="Z80:Z81" si="189">Z79+100</f>
        <v>1400</v>
      </c>
      <c r="AA80">
        <f t="shared" si="148"/>
        <v>42.4</v>
      </c>
      <c r="AB80" s="22">
        <f t="shared" si="172"/>
        <v>1193</v>
      </c>
      <c r="AC80" s="4">
        <f t="shared" si="87"/>
        <v>1283</v>
      </c>
      <c r="AD80" s="4">
        <f t="shared" si="173"/>
        <v>67.737210564149436</v>
      </c>
      <c r="AE80" s="25">
        <f t="shared" si="174"/>
        <v>72.319414222008433</v>
      </c>
      <c r="AF80" s="39">
        <f t="shared" si="175"/>
        <v>182</v>
      </c>
      <c r="AG80" s="15">
        <f t="shared" si="176"/>
        <v>117</v>
      </c>
      <c r="AH80" s="42">
        <f t="shared" si="177"/>
        <v>12.5</v>
      </c>
      <c r="AI80" s="4">
        <f t="shared" si="178"/>
        <v>52.650474880286943</v>
      </c>
      <c r="AJ80" s="25">
        <f t="shared" si="179"/>
        <v>33.846733851613031</v>
      </c>
      <c r="AK80" s="4"/>
      <c r="AL80" s="4">
        <f t="shared" si="27"/>
        <v>42.4</v>
      </c>
      <c r="AM80" t="str">
        <f t="shared" si="28"/>
        <v>ACCIAIO</v>
      </c>
      <c r="AN80" s="4">
        <f t="shared" si="29"/>
        <v>33.846733851613031</v>
      </c>
      <c r="AO80" t="str">
        <f t="shared" si="30"/>
        <v>CALCESTRUZZO</v>
      </c>
      <c r="AR80" s="4">
        <f t="shared" si="180"/>
        <v>53</v>
      </c>
      <c r="AS80" t="str">
        <f t="shared" si="181"/>
        <v>ACCIAIO</v>
      </c>
      <c r="AT80" s="4">
        <f t="shared" si="182"/>
        <v>53</v>
      </c>
      <c r="AU80" t="str">
        <f t="shared" si="183"/>
        <v>ACCIAIO</v>
      </c>
      <c r="AX80" s="4">
        <f t="shared" si="184"/>
        <v>53</v>
      </c>
      <c r="AY80" t="str">
        <f t="shared" si="185"/>
        <v>ACCIAIO</v>
      </c>
      <c r="AZ80" s="4">
        <f t="shared" si="186"/>
        <v>53</v>
      </c>
      <c r="BA80" t="str">
        <f t="shared" si="187"/>
        <v>ACCIAIO</v>
      </c>
    </row>
    <row r="81" spans="23:53" ht="15" hidden="1" customHeight="1">
      <c r="W81" t="str">
        <f t="shared" si="147"/>
        <v>VGS_13</v>
      </c>
      <c r="X81" t="str">
        <f t="shared" si="171"/>
        <v>VGS_13_1500</v>
      </c>
      <c r="Y81" t="str">
        <f t="shared" si="62"/>
        <v>13</v>
      </c>
      <c r="Z81">
        <f t="shared" si="189"/>
        <v>1500</v>
      </c>
      <c r="AA81">
        <f t="shared" si="148"/>
        <v>42.4</v>
      </c>
      <c r="AB81" s="22">
        <f t="shared" si="172"/>
        <v>1293</v>
      </c>
      <c r="AC81" s="4">
        <f t="shared" si="87"/>
        <v>1383</v>
      </c>
      <c r="AD81" s="4">
        <f t="shared" si="173"/>
        <v>72.826523962084877</v>
      </c>
      <c r="AE81" s="25">
        <f t="shared" si="174"/>
        <v>77.373255645495561</v>
      </c>
      <c r="AF81" s="39">
        <f t="shared" si="175"/>
        <v>182</v>
      </c>
      <c r="AG81" s="15">
        <f t="shared" si="176"/>
        <v>117</v>
      </c>
      <c r="AH81" s="42">
        <f t="shared" si="177"/>
        <v>12.5</v>
      </c>
      <c r="AI81" s="4">
        <f t="shared" si="178"/>
        <v>52.650474880286943</v>
      </c>
      <c r="AJ81" s="25">
        <f t="shared" si="179"/>
        <v>33.846733851613031</v>
      </c>
      <c r="AK81" s="4"/>
      <c r="AL81" s="4">
        <f t="shared" si="27"/>
        <v>42.4</v>
      </c>
      <c r="AM81" t="str">
        <f t="shared" si="28"/>
        <v>ACCIAIO</v>
      </c>
      <c r="AN81" s="4">
        <f t="shared" si="29"/>
        <v>33.846733851613031</v>
      </c>
      <c r="AO81" t="str">
        <f t="shared" si="30"/>
        <v>CALCESTRUZZO</v>
      </c>
      <c r="AR81" s="4">
        <f t="shared" si="180"/>
        <v>53</v>
      </c>
      <c r="AS81" t="str">
        <f t="shared" si="181"/>
        <v>ACCIAIO</v>
      </c>
      <c r="AT81" s="4">
        <f t="shared" si="182"/>
        <v>53</v>
      </c>
      <c r="AU81" t="str">
        <f t="shared" si="183"/>
        <v>ACCIAIO</v>
      </c>
      <c r="AX81" s="4">
        <f t="shared" si="184"/>
        <v>53</v>
      </c>
      <c r="AY81" t="str">
        <f t="shared" si="185"/>
        <v>ACCIAIO</v>
      </c>
      <c r="AZ81" s="4">
        <f t="shared" si="186"/>
        <v>53</v>
      </c>
      <c r="BA81" t="str">
        <f t="shared" si="187"/>
        <v>ACCIAIO</v>
      </c>
    </row>
    <row r="82" spans="23:53" ht="15" hidden="1" customHeight="1">
      <c r="AB82" s="22"/>
      <c r="AC82" s="4"/>
      <c r="AD82" s="4"/>
      <c r="AE82" s="25"/>
      <c r="AF82" s="39"/>
      <c r="AG82" s="15"/>
      <c r="AH82" s="42"/>
      <c r="AI82" s="4"/>
      <c r="AJ82" s="25"/>
      <c r="AK82" s="4"/>
      <c r="AL82" s="4"/>
      <c r="AN82" s="4"/>
      <c r="AR82" s="4"/>
      <c r="AT82" s="4"/>
      <c r="AX82" s="4"/>
      <c r="AZ82" s="4"/>
    </row>
    <row r="83" spans="23:53" ht="15" hidden="1" customHeight="1">
      <c r="AB83" s="22"/>
      <c r="AC83" s="4"/>
      <c r="AD83" s="4"/>
      <c r="AE83" s="25"/>
      <c r="AF83" s="39"/>
      <c r="AG83" s="15"/>
      <c r="AH83" s="42"/>
      <c r="AI83" s="4"/>
      <c r="AJ83" s="25"/>
      <c r="AK83" s="4"/>
      <c r="AL83" s="4"/>
      <c r="AN83" s="4"/>
      <c r="AR83" s="4"/>
      <c r="AT83" s="4"/>
      <c r="AX83" s="4"/>
      <c r="AZ83" s="4"/>
    </row>
    <row r="84" spans="23:53" ht="15" hidden="1" customHeight="1">
      <c r="W84" t="str">
        <f t="shared" ref="W84:W98" si="190">$E$14</f>
        <v>RTR_16</v>
      </c>
      <c r="X84" t="str">
        <f>_xlfn.CONCAT(W84,"_",Z84)</f>
        <v>RTR_16_300</v>
      </c>
      <c r="Y84" t="str">
        <f t="shared" si="62"/>
        <v>16</v>
      </c>
      <c r="Z84">
        <v>300</v>
      </c>
      <c r="AA84">
        <f t="shared" ref="AA84:AA98" si="191">$G$14/$AE$14</f>
        <v>80</v>
      </c>
      <c r="AB84" s="22">
        <f t="shared" ref="AB84:AB98" si="192">Z84-AF84-25</f>
        <v>51</v>
      </c>
      <c r="AC84" s="4">
        <f t="shared" si="87"/>
        <v>156</v>
      </c>
      <c r="AD84" s="4">
        <f>((15*(Y84^0.8)*AB84^0.9)/1000)*$AE$10/$AE$9</f>
        <v>3.5145249856520744</v>
      </c>
      <c r="AE84" s="25">
        <f>((15*(Y84^0.8)*AC84^0.9)/1000)*$AE$10/$AE$9</f>
        <v>9.6131477039421114</v>
      </c>
      <c r="AF84" s="39">
        <f>MAX(14*Y84,150)</f>
        <v>224</v>
      </c>
      <c r="AG84" s="15">
        <f>MAX(9*Y84,100)</f>
        <v>144</v>
      </c>
      <c r="AH84" s="42">
        <f>VLOOKUP(W84,$E$11:$I$14,4,FALSE)</f>
        <v>9</v>
      </c>
      <c r="AI84" s="4">
        <f>((Y84*PI())*AF84)*(AH84*$AE$18/$AE$17)/1000</f>
        <v>57.423287159375668</v>
      </c>
      <c r="AJ84" s="25">
        <f>((Y84*PI())*AG84)*(AH84*$AE$18/$AE$17)/1000</f>
        <v>36.914970316741503</v>
      </c>
      <c r="AK84" s="4"/>
      <c r="AL84" s="4">
        <f t="shared" si="27"/>
        <v>3.5145249856520744</v>
      </c>
      <c r="AM84" t="str">
        <f t="shared" si="28"/>
        <v>LEGNO</v>
      </c>
      <c r="AN84" s="4">
        <f t="shared" si="29"/>
        <v>9.6131477039421114</v>
      </c>
      <c r="AO84" t="str">
        <f t="shared" si="30"/>
        <v>LEGNO</v>
      </c>
      <c r="AR84" s="4">
        <f t="shared" ref="AR84:AR98" si="193">MIN(AA84*$AE$14,AD84*$AE$9/$AE$10,AI84*$AE$17/$AE$18)</f>
        <v>4.7446087306303006</v>
      </c>
      <c r="AS84" t="str">
        <f t="shared" ref="AS84:AS98" si="194">IF(AR84=AA84*$AE$14,"ACCIAIO",IF(AR84=AD84*$AE$9/$AE$10,"LEGNO",IF(AR84=AI84*$AE$17/$AE$18," CALCESTRUZZO")))</f>
        <v>LEGNO</v>
      </c>
      <c r="AT84" s="4">
        <f t="shared" ref="AT84:AT98" si="195">MIN(AA84*$AE$14,AE84*$AE$9/$AE$10,AJ84*$AE$17/$AE$18)</f>
        <v>12.977749400321851</v>
      </c>
      <c r="AU84" t="str">
        <f t="shared" ref="AU84:AU98" si="196">IF(AT84=AA84*$AE$14,"ACCIAIO",IF(AT84=AE84*$AE$9/$AE$10,"LEGNO",IF(AT84=AJ84*$AE$17/$AE$18," CALCESTRUZZO")))</f>
        <v>LEGNO</v>
      </c>
      <c r="AX84" s="4">
        <f t="shared" ref="AX84:AX98" si="197">MIN(AA84*$AE$14,$AZ$18*AD84*$AE$9/$AE$10,AI84*$AE$17/$AE$18)</f>
        <v>7.1169130959454519</v>
      </c>
      <c r="AY84" t="str">
        <f t="shared" ref="AY84:AY98" si="198">IF(AX84=AA84*$AE$14,"ACCIAIO",IF(AX84=$AZ$18*AD84*$AE$9/$AE$10,"LEGNO",IF(AX84=AI84*$AE$17/$AE$18," CALCESTRUZZO")))</f>
        <v>LEGNO</v>
      </c>
      <c r="AZ84" s="4">
        <f t="shared" ref="AZ84:AZ98" si="199">MIN(AA84*$AE$14,$AZ$18*AE84*$AE$9/$AE$10,AJ84*$AE$17/$AE$18)</f>
        <v>19.466624100482775</v>
      </c>
      <c r="BA84" t="str">
        <f t="shared" ref="BA84:BA98" si="200">IF(AZ84=AA84*$AE$14,"ACCIAIO",IF(AZ84=$AZ$18*AE84*$AE$9/$AE$10,"LEGNO",IF(AZ84=AJ84*$AE$17/$AE$18," CALCESTRUZZO")))</f>
        <v>LEGNO</v>
      </c>
    </row>
    <row r="85" spans="23:53" ht="15" hidden="1" customHeight="1">
      <c r="W85" t="str">
        <f t="shared" si="190"/>
        <v>RTR_16</v>
      </c>
      <c r="X85" t="str">
        <f t="shared" ref="X85:X91" si="201">_xlfn.CONCAT(W85,"_",Z85)</f>
        <v>RTR_16_350</v>
      </c>
      <c r="Y85" t="str">
        <f t="shared" si="62"/>
        <v>16</v>
      </c>
      <c r="Z85">
        <f>Z84+50</f>
        <v>350</v>
      </c>
      <c r="AA85">
        <f t="shared" si="191"/>
        <v>80</v>
      </c>
      <c r="AB85" s="22">
        <f t="shared" ref="AB85:AB91" si="202">Z85-AF85-25</f>
        <v>101</v>
      </c>
      <c r="AC85" s="4">
        <f t="shared" ref="AC85:AC91" si="203">Z85-AG85</f>
        <v>206</v>
      </c>
      <c r="AD85" s="4">
        <f t="shared" ref="AD85:AD91" si="204">((15*(Y85^0.8)*AB85^0.9)/1000)*$AE$10/$AE$9</f>
        <v>6.5004393870113342</v>
      </c>
      <c r="AE85" s="25">
        <f t="shared" ref="AE85:AE91" si="205">((15*(Y85^0.8)*AC85^0.9)/1000)*$AE$10/$AE$9</f>
        <v>12.346218963196012</v>
      </c>
      <c r="AF85" s="39">
        <f t="shared" ref="AF85:AF91" si="206">MAX(14*Y85,150)</f>
        <v>224</v>
      </c>
      <c r="AG85" s="15">
        <f t="shared" ref="AG85:AG91" si="207">MAX(9*Y85,100)</f>
        <v>144</v>
      </c>
      <c r="AH85" s="42">
        <f t="shared" ref="AH85:AH91" si="208">VLOOKUP(W85,$E$11:$I$14,4,FALSE)</f>
        <v>9</v>
      </c>
      <c r="AI85" s="4">
        <f t="shared" ref="AI85:AI91" si="209">((Y85*PI())*AF85)*(AH85*$AE$18/$AE$17)/1000</f>
        <v>57.423287159375668</v>
      </c>
      <c r="AJ85" s="25">
        <f t="shared" ref="AJ85:AJ91" si="210">((Y85*PI())*AG85)*(AH85*$AE$18/$AE$17)/1000</f>
        <v>36.914970316741503</v>
      </c>
      <c r="AK85" s="4"/>
      <c r="AL85" s="4">
        <f t="shared" ref="AL85:AL91" si="211">MIN(AA85,AD85,AI85)</f>
        <v>6.5004393870113342</v>
      </c>
      <c r="AM85" t="str">
        <f t="shared" ref="AM85:AM91" si="212">IF(AL85=AA85,"ACCIAIO",IF(AL85=AD85,"LEGNO",IF(AL85=AI85," CALCESTRUZZO")))</f>
        <v>LEGNO</v>
      </c>
      <c r="AN85" s="4">
        <f t="shared" ref="AN85:AN91" si="213">MIN(AA85,AE85,AJ85)</f>
        <v>12.346218963196012</v>
      </c>
      <c r="AO85" t="str">
        <f t="shared" ref="AO85:AO91" si="214">IF(AN85=AA85,"ACCIAIO",IF(AN85=AE85,"LEGNO",IF(AN85=AJ85,"CALCESTRUZZO")))</f>
        <v>LEGNO</v>
      </c>
      <c r="AR85" s="4">
        <f t="shared" ref="AR85:AR91" si="215">MIN(AA85*$AE$14,AD85*$AE$9/$AE$10,AI85*$AE$17/$AE$18)</f>
        <v>8.7755931724653014</v>
      </c>
      <c r="AS85" t="str">
        <f t="shared" ref="AS85:AS91" si="216">IF(AR85=AA85*$AE$14,"ACCIAIO",IF(AR85=AD85*$AE$9/$AE$10,"LEGNO",IF(AR85=AI85*$AE$17/$AE$18," CALCESTRUZZO")))</f>
        <v>LEGNO</v>
      </c>
      <c r="AT85" s="4">
        <f t="shared" ref="AT85:AT91" si="217">MIN(AA85*$AE$14,AE85*$AE$9/$AE$10,AJ85*$AE$17/$AE$18)</f>
        <v>16.667395600314617</v>
      </c>
      <c r="AU85" t="str">
        <f t="shared" ref="AU85:AU91" si="218">IF(AT85=AA85*$AE$14,"ACCIAIO",IF(AT85=AE85*$AE$9/$AE$10,"LEGNO",IF(AT85=AJ85*$AE$17/$AE$18," CALCESTRUZZO")))</f>
        <v>LEGNO</v>
      </c>
      <c r="AX85" s="4">
        <f t="shared" ref="AX85:AX91" si="219">MIN(AA85*$AE$14,$AZ$18*AD85*$AE$9/$AE$10,AI85*$AE$17/$AE$18)</f>
        <v>13.163389758697953</v>
      </c>
      <c r="AY85" t="str">
        <f t="shared" ref="AY85:AY91" si="220">IF(AX85=AA85*$AE$14,"ACCIAIO",IF(AX85=$AZ$18*AD85*$AE$9/$AE$10,"LEGNO",IF(AX85=AI85*$AE$17/$AE$18," CALCESTRUZZO")))</f>
        <v>LEGNO</v>
      </c>
      <c r="AZ85" s="4">
        <f t="shared" ref="AZ85:AZ91" si="221">MIN(AA85*$AE$14,$AZ$18*AE85*$AE$9/$AE$10,AJ85*$AE$17/$AE$18)</f>
        <v>25.00109340047193</v>
      </c>
      <c r="BA85" t="str">
        <f t="shared" ref="BA85:BA91" si="222">IF(AZ85=AA85*$AE$14,"ACCIAIO",IF(AZ85=$AZ$18*AE85*$AE$9/$AE$10,"LEGNO",IF(AZ85=AJ85*$AE$17/$AE$18," CALCESTRUZZO")))</f>
        <v>LEGNO</v>
      </c>
    </row>
    <row r="86" spans="23:53" ht="15" hidden="1" customHeight="1">
      <c r="W86" t="str">
        <f t="shared" si="190"/>
        <v>RTR_16</v>
      </c>
      <c r="X86" t="str">
        <f t="shared" si="201"/>
        <v>RTR_16_400</v>
      </c>
      <c r="Y86" t="str">
        <f t="shared" si="62"/>
        <v>16</v>
      </c>
      <c r="Z86">
        <f t="shared" ref="Z86:Z98" si="223">Z85+50</f>
        <v>400</v>
      </c>
      <c r="AA86">
        <f t="shared" si="191"/>
        <v>80</v>
      </c>
      <c r="AB86" s="22">
        <f t="shared" si="202"/>
        <v>151</v>
      </c>
      <c r="AC86" s="4">
        <f t="shared" si="203"/>
        <v>256</v>
      </c>
      <c r="AD86" s="4">
        <f t="shared" si="204"/>
        <v>9.3353956593028613</v>
      </c>
      <c r="AE86" s="25">
        <f t="shared" si="205"/>
        <v>15.013067784793812</v>
      </c>
      <c r="AF86" s="39">
        <f t="shared" si="206"/>
        <v>224</v>
      </c>
      <c r="AG86" s="15">
        <f t="shared" si="207"/>
        <v>144</v>
      </c>
      <c r="AH86" s="42">
        <f t="shared" si="208"/>
        <v>9</v>
      </c>
      <c r="AI86" s="4">
        <f t="shared" si="209"/>
        <v>57.423287159375668</v>
      </c>
      <c r="AJ86" s="25">
        <f t="shared" si="210"/>
        <v>36.914970316741503</v>
      </c>
      <c r="AK86" s="4"/>
      <c r="AL86" s="4">
        <f t="shared" si="211"/>
        <v>9.3353956593028613</v>
      </c>
      <c r="AM86" t="str">
        <f t="shared" si="212"/>
        <v>LEGNO</v>
      </c>
      <c r="AN86" s="4">
        <f t="shared" si="213"/>
        <v>15.013067784793812</v>
      </c>
      <c r="AO86" t="str">
        <f t="shared" si="214"/>
        <v>LEGNO</v>
      </c>
      <c r="AR86" s="4">
        <f t="shared" si="215"/>
        <v>12.602784140058864</v>
      </c>
      <c r="AS86" t="str">
        <f t="shared" si="216"/>
        <v>LEGNO</v>
      </c>
      <c r="AT86" s="4">
        <f t="shared" si="217"/>
        <v>20.267641509471648</v>
      </c>
      <c r="AU86" t="str">
        <f t="shared" si="218"/>
        <v>LEGNO</v>
      </c>
      <c r="AX86" s="4">
        <f t="shared" si="219"/>
        <v>18.904176210088295</v>
      </c>
      <c r="AY86" t="str">
        <f t="shared" si="220"/>
        <v>LEGNO</v>
      </c>
      <c r="AZ86" s="4">
        <f t="shared" si="221"/>
        <v>30.401462264207471</v>
      </c>
      <c r="BA86" t="str">
        <f t="shared" si="222"/>
        <v>LEGNO</v>
      </c>
    </row>
    <row r="87" spans="23:53" ht="15" hidden="1" customHeight="1">
      <c r="W87" t="str">
        <f t="shared" si="190"/>
        <v>RTR_16</v>
      </c>
      <c r="X87" t="str">
        <f t="shared" si="201"/>
        <v>RTR_16_450</v>
      </c>
      <c r="Y87" t="str">
        <f t="shared" si="62"/>
        <v>16</v>
      </c>
      <c r="Z87">
        <f t="shared" si="223"/>
        <v>450</v>
      </c>
      <c r="AA87">
        <f t="shared" si="191"/>
        <v>80</v>
      </c>
      <c r="AB87" s="22">
        <f t="shared" si="202"/>
        <v>201</v>
      </c>
      <c r="AC87" s="4">
        <f t="shared" si="203"/>
        <v>306</v>
      </c>
      <c r="AD87" s="4">
        <f t="shared" si="204"/>
        <v>12.076189750110517</v>
      </c>
      <c r="AE87" s="25">
        <f t="shared" si="205"/>
        <v>17.627988581272128</v>
      </c>
      <c r="AF87" s="39">
        <f t="shared" si="206"/>
        <v>224</v>
      </c>
      <c r="AG87" s="15">
        <f t="shared" si="207"/>
        <v>144</v>
      </c>
      <c r="AH87" s="42">
        <f t="shared" si="208"/>
        <v>9</v>
      </c>
      <c r="AI87" s="4">
        <f t="shared" si="209"/>
        <v>57.423287159375668</v>
      </c>
      <c r="AJ87" s="25">
        <f t="shared" si="210"/>
        <v>36.914970316741503</v>
      </c>
      <c r="AK87" s="4"/>
      <c r="AL87" s="4">
        <f t="shared" si="211"/>
        <v>12.076189750110517</v>
      </c>
      <c r="AM87" t="str">
        <f t="shared" si="212"/>
        <v>LEGNO</v>
      </c>
      <c r="AN87" s="4">
        <f t="shared" si="213"/>
        <v>17.627988581272128</v>
      </c>
      <c r="AO87" t="str">
        <f t="shared" si="214"/>
        <v>LEGNO</v>
      </c>
      <c r="AR87" s="4">
        <f t="shared" si="215"/>
        <v>16.302856162649199</v>
      </c>
      <c r="AS87" t="str">
        <f t="shared" si="216"/>
        <v>LEGNO</v>
      </c>
      <c r="AT87" s="4">
        <f t="shared" si="217"/>
        <v>23.797784584717373</v>
      </c>
      <c r="AU87" t="str">
        <f t="shared" si="218"/>
        <v>LEGNO</v>
      </c>
      <c r="AX87" s="4">
        <f t="shared" si="219"/>
        <v>24.454284243973799</v>
      </c>
      <c r="AY87" t="str">
        <f t="shared" si="220"/>
        <v>LEGNO</v>
      </c>
      <c r="AZ87" s="4">
        <f t="shared" si="221"/>
        <v>35.696676877076058</v>
      </c>
      <c r="BA87" t="str">
        <f t="shared" si="222"/>
        <v>LEGNO</v>
      </c>
    </row>
    <row r="88" spans="23:53" ht="15" hidden="1" customHeight="1">
      <c r="W88" t="str">
        <f t="shared" si="190"/>
        <v>RTR_16</v>
      </c>
      <c r="X88" t="str">
        <f t="shared" si="201"/>
        <v>RTR_16_500</v>
      </c>
      <c r="Y88" t="str">
        <f t="shared" si="62"/>
        <v>16</v>
      </c>
      <c r="Z88">
        <f t="shared" si="223"/>
        <v>500</v>
      </c>
      <c r="AA88">
        <f t="shared" si="191"/>
        <v>80</v>
      </c>
      <c r="AB88" s="22">
        <f t="shared" si="202"/>
        <v>251</v>
      </c>
      <c r="AC88" s="4">
        <f t="shared" si="203"/>
        <v>356</v>
      </c>
      <c r="AD88" s="4">
        <f t="shared" si="204"/>
        <v>14.748906621468088</v>
      </c>
      <c r="AE88" s="25">
        <f t="shared" si="205"/>
        <v>20.200330491292355</v>
      </c>
      <c r="AF88" s="39">
        <f t="shared" si="206"/>
        <v>224</v>
      </c>
      <c r="AG88" s="15">
        <f t="shared" si="207"/>
        <v>144</v>
      </c>
      <c r="AH88" s="42">
        <f t="shared" si="208"/>
        <v>9</v>
      </c>
      <c r="AI88" s="4">
        <f t="shared" si="209"/>
        <v>57.423287159375668</v>
      </c>
      <c r="AJ88" s="25">
        <f t="shared" si="210"/>
        <v>36.914970316741503</v>
      </c>
      <c r="AK88" s="4"/>
      <c r="AL88" s="4">
        <f t="shared" si="211"/>
        <v>14.748906621468088</v>
      </c>
      <c r="AM88" t="str">
        <f t="shared" si="212"/>
        <v>LEGNO</v>
      </c>
      <c r="AN88" s="4">
        <f t="shared" si="213"/>
        <v>20.200330491292355</v>
      </c>
      <c r="AO88" t="str">
        <f t="shared" si="214"/>
        <v>LEGNO</v>
      </c>
      <c r="AR88" s="4">
        <f t="shared" si="215"/>
        <v>19.91102393898192</v>
      </c>
      <c r="AS88" t="str">
        <f t="shared" si="216"/>
        <v>LEGNO</v>
      </c>
      <c r="AT88" s="4">
        <f t="shared" si="217"/>
        <v>27.270446163244682</v>
      </c>
      <c r="AU88" t="str">
        <f t="shared" si="218"/>
        <v>LEGNO</v>
      </c>
      <c r="AX88" s="4">
        <f t="shared" si="219"/>
        <v>29.86653590847288</v>
      </c>
      <c r="AY88" t="str">
        <f t="shared" si="220"/>
        <v>LEGNO</v>
      </c>
      <c r="AZ88" s="4">
        <f t="shared" si="221"/>
        <v>40.90566924486702</v>
      </c>
      <c r="BA88" t="str">
        <f t="shared" si="222"/>
        <v>LEGNO</v>
      </c>
    </row>
    <row r="89" spans="23:53" ht="15" hidden="1" customHeight="1">
      <c r="W89" t="str">
        <f t="shared" si="190"/>
        <v>RTR_16</v>
      </c>
      <c r="X89" t="str">
        <f t="shared" si="201"/>
        <v>RTR_16_550</v>
      </c>
      <c r="Y89" t="str">
        <f t="shared" si="62"/>
        <v>16</v>
      </c>
      <c r="Z89">
        <f t="shared" si="223"/>
        <v>550</v>
      </c>
      <c r="AA89">
        <f t="shared" si="191"/>
        <v>80</v>
      </c>
      <c r="AB89" s="22">
        <f t="shared" si="202"/>
        <v>301</v>
      </c>
      <c r="AC89" s="4">
        <f t="shared" si="203"/>
        <v>406</v>
      </c>
      <c r="AD89" s="4">
        <f t="shared" si="204"/>
        <v>17.368540381761637</v>
      </c>
      <c r="AE89" s="25">
        <f t="shared" si="205"/>
        <v>22.736672535105697</v>
      </c>
      <c r="AF89" s="39">
        <f t="shared" si="206"/>
        <v>224</v>
      </c>
      <c r="AG89" s="15">
        <f t="shared" si="207"/>
        <v>144</v>
      </c>
      <c r="AH89" s="42">
        <f t="shared" si="208"/>
        <v>9</v>
      </c>
      <c r="AI89" s="4">
        <f t="shared" si="209"/>
        <v>57.423287159375668</v>
      </c>
      <c r="AJ89" s="25">
        <f t="shared" si="210"/>
        <v>36.914970316741503</v>
      </c>
      <c r="AK89" s="4"/>
      <c r="AL89" s="4">
        <f t="shared" si="211"/>
        <v>17.368540381761637</v>
      </c>
      <c r="AM89" t="str">
        <f t="shared" si="212"/>
        <v>LEGNO</v>
      </c>
      <c r="AN89" s="4">
        <f t="shared" si="213"/>
        <v>22.736672535105697</v>
      </c>
      <c r="AO89" t="str">
        <f t="shared" si="214"/>
        <v>LEGNO</v>
      </c>
      <c r="AR89" s="4">
        <f t="shared" si="215"/>
        <v>23.447529515378211</v>
      </c>
      <c r="AS89" t="str">
        <f t="shared" si="216"/>
        <v>LEGNO</v>
      </c>
      <c r="AT89" s="4">
        <f t="shared" si="217"/>
        <v>30.694507922392692</v>
      </c>
      <c r="AU89" t="str">
        <f t="shared" si="218"/>
        <v>LEGNO</v>
      </c>
      <c r="AX89" s="4">
        <f t="shared" si="219"/>
        <v>35.171294273067318</v>
      </c>
      <c r="AY89" t="str">
        <f t="shared" si="220"/>
        <v>LEGNO</v>
      </c>
      <c r="AZ89" s="4">
        <f t="shared" si="221"/>
        <v>46.041761883589039</v>
      </c>
      <c r="BA89" t="str">
        <f t="shared" si="222"/>
        <v>LEGNO</v>
      </c>
    </row>
    <row r="90" spans="23:53" ht="15" hidden="1" customHeight="1">
      <c r="W90" t="str">
        <f t="shared" si="190"/>
        <v>RTR_16</v>
      </c>
      <c r="X90" t="str">
        <f t="shared" si="201"/>
        <v>RTR_16_600</v>
      </c>
      <c r="Y90" t="str">
        <f t="shared" si="62"/>
        <v>16</v>
      </c>
      <c r="Z90">
        <f t="shared" si="223"/>
        <v>600</v>
      </c>
      <c r="AA90">
        <f t="shared" si="191"/>
        <v>80</v>
      </c>
      <c r="AB90" s="22">
        <f t="shared" si="202"/>
        <v>351</v>
      </c>
      <c r="AC90" s="4">
        <f t="shared" si="203"/>
        <v>456</v>
      </c>
      <c r="AD90" s="4">
        <f t="shared" si="204"/>
        <v>19.944808992106704</v>
      </c>
      <c r="AE90" s="25">
        <f t="shared" si="205"/>
        <v>25.241887980999799</v>
      </c>
      <c r="AF90" s="39">
        <f t="shared" si="206"/>
        <v>224</v>
      </c>
      <c r="AG90" s="15">
        <f t="shared" si="207"/>
        <v>144</v>
      </c>
      <c r="AH90" s="42">
        <f t="shared" si="208"/>
        <v>9</v>
      </c>
      <c r="AI90" s="4">
        <f t="shared" si="209"/>
        <v>57.423287159375668</v>
      </c>
      <c r="AJ90" s="25">
        <f t="shared" si="210"/>
        <v>36.914970316741503</v>
      </c>
      <c r="AK90" s="4"/>
      <c r="AL90" s="4">
        <f t="shared" si="211"/>
        <v>19.944808992106704</v>
      </c>
      <c r="AM90" t="str">
        <f t="shared" si="212"/>
        <v>LEGNO</v>
      </c>
      <c r="AN90" s="4">
        <f t="shared" si="213"/>
        <v>25.241887980999799</v>
      </c>
      <c r="AO90" t="str">
        <f t="shared" si="214"/>
        <v>LEGNO</v>
      </c>
      <c r="AR90" s="4">
        <f t="shared" si="215"/>
        <v>26.925492139344051</v>
      </c>
      <c r="AS90" t="str">
        <f t="shared" si="216"/>
        <v>LEGNO</v>
      </c>
      <c r="AT90" s="4">
        <f t="shared" si="217"/>
        <v>34.076548774349732</v>
      </c>
      <c r="AU90" t="str">
        <f t="shared" si="218"/>
        <v>LEGNO</v>
      </c>
      <c r="AX90" s="4">
        <f t="shared" si="219"/>
        <v>40.38823820901608</v>
      </c>
      <c r="AY90" t="str">
        <f t="shared" si="220"/>
        <v>LEGNO</v>
      </c>
      <c r="AZ90" s="4">
        <f t="shared" si="221"/>
        <v>51.114823161524598</v>
      </c>
      <c r="BA90" t="str">
        <f t="shared" si="222"/>
        <v>LEGNO</v>
      </c>
    </row>
    <row r="91" spans="23:53" ht="15" hidden="1" customHeight="1">
      <c r="W91" t="str">
        <f t="shared" si="190"/>
        <v>RTR_16</v>
      </c>
      <c r="X91" t="str">
        <f t="shared" si="201"/>
        <v>RTR_16_650</v>
      </c>
      <c r="Y91" t="str">
        <f t="shared" si="62"/>
        <v>16</v>
      </c>
      <c r="Z91">
        <f t="shared" si="223"/>
        <v>650</v>
      </c>
      <c r="AA91">
        <f t="shared" si="191"/>
        <v>80</v>
      </c>
      <c r="AB91" s="22">
        <f t="shared" si="202"/>
        <v>401</v>
      </c>
      <c r="AC91" s="4">
        <f t="shared" si="203"/>
        <v>506</v>
      </c>
      <c r="AD91" s="4">
        <f t="shared" si="204"/>
        <v>22.484509198612479</v>
      </c>
      <c r="AE91" s="25">
        <f t="shared" si="205"/>
        <v>27.719726557369231</v>
      </c>
      <c r="AF91" s="39">
        <f t="shared" si="206"/>
        <v>224</v>
      </c>
      <c r="AG91" s="15">
        <f t="shared" si="207"/>
        <v>144</v>
      </c>
      <c r="AH91" s="42">
        <f t="shared" si="208"/>
        <v>9</v>
      </c>
      <c r="AI91" s="4">
        <f t="shared" si="209"/>
        <v>57.423287159375668</v>
      </c>
      <c r="AJ91" s="25">
        <f t="shared" si="210"/>
        <v>36.914970316741503</v>
      </c>
      <c r="AK91" s="4"/>
      <c r="AL91" s="4">
        <f t="shared" si="211"/>
        <v>22.484509198612479</v>
      </c>
      <c r="AM91" t="str">
        <f t="shared" si="212"/>
        <v>LEGNO</v>
      </c>
      <c r="AN91" s="4">
        <f t="shared" si="213"/>
        <v>27.719726557369231</v>
      </c>
      <c r="AO91" t="str">
        <f t="shared" si="214"/>
        <v>LEGNO</v>
      </c>
      <c r="AR91" s="4">
        <f t="shared" si="215"/>
        <v>30.354087418126849</v>
      </c>
      <c r="AS91" t="str">
        <f t="shared" si="216"/>
        <v>LEGNO</v>
      </c>
      <c r="AT91" s="4">
        <f t="shared" si="217"/>
        <v>37.421630852448466</v>
      </c>
      <c r="AU91" t="str">
        <f t="shared" si="218"/>
        <v>LEGNO</v>
      </c>
      <c r="AX91" s="4">
        <f t="shared" si="219"/>
        <v>45.531131127190278</v>
      </c>
      <c r="AY91" t="str">
        <f t="shared" si="220"/>
        <v>LEGNO</v>
      </c>
      <c r="AZ91" s="4">
        <f t="shared" si="221"/>
        <v>56.132446278672703</v>
      </c>
      <c r="BA91" t="str">
        <f t="shared" si="222"/>
        <v>LEGNO</v>
      </c>
    </row>
    <row r="92" spans="23:53" ht="15" hidden="1" customHeight="1">
      <c r="W92" t="str">
        <f t="shared" si="190"/>
        <v>RTR_16</v>
      </c>
      <c r="X92" t="str">
        <f>_xlfn.CONCAT(W92,"_",Z92)</f>
        <v>RTR_16_700</v>
      </c>
      <c r="Y92" t="str">
        <f t="shared" ref="Y92:Y98" si="224">IF(MID(W92,5,1)&lt;=9,MID(W92,5,1),MID(W92,5,2))</f>
        <v>16</v>
      </c>
      <c r="Z92">
        <f t="shared" si="223"/>
        <v>700</v>
      </c>
      <c r="AA92">
        <f t="shared" si="191"/>
        <v>80</v>
      </c>
      <c r="AB92" s="22">
        <f t="shared" si="192"/>
        <v>451</v>
      </c>
      <c r="AC92" s="4">
        <f t="shared" si="87"/>
        <v>556</v>
      </c>
      <c r="AD92" s="4">
        <f>((15*(Y92^0.8)*AB92^0.9)/1000)*$AE$10/$AE$9</f>
        <v>24.992653283340704</v>
      </c>
      <c r="AE92" s="25">
        <f>((15*(Y92^0.8)*AC92^0.9)/1000)*$AE$10/$AE$9</f>
        <v>30.173159541162459</v>
      </c>
      <c r="AF92" s="39">
        <f>MAX(14*Y92,150)</f>
        <v>224</v>
      </c>
      <c r="AG92" s="15">
        <f>MAX(9*Y92,100)</f>
        <v>144</v>
      </c>
      <c r="AH92" s="42">
        <f>VLOOKUP(W92,$E$11:$I$14,4,FALSE)</f>
        <v>9</v>
      </c>
      <c r="AI92" s="4">
        <f>((Y92*PI())*AF92)*(AH92*$AE$18/$AE$17)/1000</f>
        <v>57.423287159375668</v>
      </c>
      <c r="AJ92" s="25">
        <f>((Y92*PI())*AG92)*(AH92*$AE$18/$AE$17)/1000</f>
        <v>36.914970316741503</v>
      </c>
      <c r="AK92" s="4"/>
      <c r="AL92" s="4">
        <f t="shared" si="27"/>
        <v>24.992653283340704</v>
      </c>
      <c r="AM92" t="str">
        <f t="shared" si="28"/>
        <v>LEGNO</v>
      </c>
      <c r="AN92" s="4">
        <f t="shared" si="29"/>
        <v>30.173159541162459</v>
      </c>
      <c r="AO92" t="str">
        <f t="shared" si="30"/>
        <v>LEGNO</v>
      </c>
      <c r="AR92" s="4">
        <f t="shared" si="193"/>
        <v>33.740081932509952</v>
      </c>
      <c r="AS92" t="str">
        <f t="shared" si="194"/>
        <v>LEGNO</v>
      </c>
      <c r="AT92" s="4">
        <f t="shared" si="195"/>
        <v>40.733765380569324</v>
      </c>
      <c r="AU92" t="str">
        <f t="shared" si="196"/>
        <v>LEGNO</v>
      </c>
      <c r="AX92" s="4">
        <f t="shared" si="197"/>
        <v>50.610122898764935</v>
      </c>
      <c r="AY92" t="str">
        <f t="shared" si="198"/>
        <v>LEGNO</v>
      </c>
      <c r="AZ92" s="4">
        <f t="shared" si="199"/>
        <v>61.100648070853978</v>
      </c>
      <c r="BA92" t="str">
        <f t="shared" si="200"/>
        <v>LEGNO</v>
      </c>
    </row>
    <row r="93" spans="23:53" ht="15" hidden="1" customHeight="1">
      <c r="W93" t="str">
        <f t="shared" si="190"/>
        <v>RTR_16</v>
      </c>
      <c r="X93" t="str">
        <f>_xlfn.CONCAT(W93,"_",Z93)</f>
        <v>RTR_16_750</v>
      </c>
      <c r="Y93" t="str">
        <f t="shared" si="224"/>
        <v>16</v>
      </c>
      <c r="Z93">
        <f t="shared" si="223"/>
        <v>750</v>
      </c>
      <c r="AA93">
        <f t="shared" si="191"/>
        <v>80</v>
      </c>
      <c r="AB93" s="22">
        <f>Z93-AF93-25</f>
        <v>501</v>
      </c>
      <c r="AC93" s="4">
        <f t="shared" si="87"/>
        <v>606</v>
      </c>
      <c r="AD93" s="4">
        <f>((15*(Y93^0.8)*AB93^0.9)/1000)*$AE$10/$AE$9</f>
        <v>27.473085008363245</v>
      </c>
      <c r="AE93" s="25">
        <f>((15*(Y93^0.8)*AC93^0.9)/1000)*$AE$10/$AE$9</f>
        <v>32.604597137677402</v>
      </c>
      <c r="AF93" s="39">
        <f>MAX(14*Y93,150)</f>
        <v>224</v>
      </c>
      <c r="AG93" s="15">
        <f>MAX(9*Y93,100)</f>
        <v>144</v>
      </c>
      <c r="AH93" s="42">
        <f>VLOOKUP(W93,$E$11:$I$14,4,FALSE)</f>
        <v>9</v>
      </c>
      <c r="AI93" s="4">
        <f>((Y93*PI())*AF93)*(AH93*$AE$18/$AE$17)/1000</f>
        <v>57.423287159375668</v>
      </c>
      <c r="AJ93" s="25">
        <f>((Y93*PI())*AG93)*(AH93*$AE$18/$AE$17)/1000</f>
        <v>36.914970316741503</v>
      </c>
      <c r="AK93" s="4"/>
      <c r="AL93" s="4">
        <f t="shared" si="27"/>
        <v>27.473085008363245</v>
      </c>
      <c r="AM93" t="str">
        <f t="shared" si="28"/>
        <v>LEGNO</v>
      </c>
      <c r="AN93" s="4">
        <f t="shared" si="29"/>
        <v>32.604597137677402</v>
      </c>
      <c r="AO93" t="str">
        <f t="shared" si="30"/>
        <v>LEGNO</v>
      </c>
      <c r="AR93" s="4">
        <f t="shared" si="193"/>
        <v>37.088664761290381</v>
      </c>
      <c r="AS93" t="str">
        <f t="shared" si="194"/>
        <v>LEGNO</v>
      </c>
      <c r="AT93" s="4">
        <f t="shared" si="195"/>
        <v>44.016206135864493</v>
      </c>
      <c r="AU93" t="str">
        <f t="shared" si="196"/>
        <v>LEGNO</v>
      </c>
      <c r="AX93" s="4">
        <f t="shared" si="197"/>
        <v>55.632997141935576</v>
      </c>
      <c r="AY93" t="str">
        <f t="shared" si="198"/>
        <v>LEGNO</v>
      </c>
      <c r="AZ93" s="4">
        <f t="shared" si="199"/>
        <v>65.144065264837948</v>
      </c>
      <c r="BA93" t="str">
        <f t="shared" si="200"/>
        <v xml:space="preserve"> CALCESTRUZZO</v>
      </c>
    </row>
    <row r="94" spans="23:53" ht="15" hidden="1" customHeight="1">
      <c r="W94" t="str">
        <f t="shared" si="190"/>
        <v>RTR_16</v>
      </c>
      <c r="X94" t="str">
        <f>_xlfn.CONCAT(W94,"_",Z94)</f>
        <v>RTR_16_800</v>
      </c>
      <c r="Y94" t="str">
        <f t="shared" si="224"/>
        <v>16</v>
      </c>
      <c r="Z94">
        <f t="shared" si="223"/>
        <v>800</v>
      </c>
      <c r="AA94">
        <f t="shared" si="191"/>
        <v>80</v>
      </c>
      <c r="AB94" s="22">
        <f t="shared" si="192"/>
        <v>551</v>
      </c>
      <c r="AC94" s="4">
        <f t="shared" si="87"/>
        <v>656</v>
      </c>
      <c r="AD94" s="4">
        <f>((15*(Y94^0.8)*AB94^0.9)/1000)*$AE$10/$AE$9</f>
        <v>29.928842145465477</v>
      </c>
      <c r="AE94" s="25">
        <f>((15*(Y94^0.8)*AC94^0.9)/1000)*$AE$10/$AE$9</f>
        <v>35.016032131489297</v>
      </c>
      <c r="AF94" s="39">
        <f>MAX(14*Y94,150)</f>
        <v>224</v>
      </c>
      <c r="AG94" s="15">
        <f>MAX(9*Y94,100)</f>
        <v>144</v>
      </c>
      <c r="AH94" s="42">
        <f>VLOOKUP(W94,$E$11:$I$14,4,FALSE)</f>
        <v>9</v>
      </c>
      <c r="AI94" s="4">
        <f>((Y94*PI())*AF94)*(AH94*$AE$18/$AE$17)/1000</f>
        <v>57.423287159375668</v>
      </c>
      <c r="AJ94" s="25">
        <f>((Y94*PI())*AG94)*(AH94*$AE$18/$AE$17)/1000</f>
        <v>36.914970316741503</v>
      </c>
      <c r="AK94" s="4"/>
      <c r="AL94" s="4">
        <f t="shared" si="27"/>
        <v>29.928842145465477</v>
      </c>
      <c r="AM94" t="str">
        <f t="shared" si="28"/>
        <v>LEGNO</v>
      </c>
      <c r="AN94" s="4">
        <f t="shared" si="29"/>
        <v>35.016032131489297</v>
      </c>
      <c r="AO94" t="str">
        <f t="shared" si="30"/>
        <v>LEGNO</v>
      </c>
      <c r="AR94" s="4">
        <f t="shared" si="193"/>
        <v>40.403936896378397</v>
      </c>
      <c r="AS94" t="str">
        <f t="shared" si="194"/>
        <v>LEGNO</v>
      </c>
      <c r="AT94" s="4">
        <f t="shared" si="195"/>
        <v>47.271643377510557</v>
      </c>
      <c r="AU94" t="str">
        <f t="shared" si="196"/>
        <v>LEGNO</v>
      </c>
      <c r="AX94" s="4">
        <f t="shared" si="197"/>
        <v>60.605905344567596</v>
      </c>
      <c r="AY94" t="str">
        <f t="shared" si="198"/>
        <v>LEGNO</v>
      </c>
      <c r="AZ94" s="4">
        <f t="shared" si="199"/>
        <v>65.144065264837948</v>
      </c>
      <c r="BA94" t="str">
        <f t="shared" si="200"/>
        <v xml:space="preserve"> CALCESTRUZZO</v>
      </c>
    </row>
    <row r="95" spans="23:53" ht="15" hidden="1" customHeight="1">
      <c r="W95" t="str">
        <f t="shared" si="190"/>
        <v>RTR_16</v>
      </c>
      <c r="X95" t="str">
        <f>_xlfn.CONCAT(W95,"_",Z95)</f>
        <v>RTR_16_850</v>
      </c>
      <c r="Y95" t="str">
        <f t="shared" si="224"/>
        <v>16</v>
      </c>
      <c r="Z95">
        <f t="shared" si="223"/>
        <v>850</v>
      </c>
      <c r="AA95">
        <f t="shared" si="191"/>
        <v>80</v>
      </c>
      <c r="AB95" s="22">
        <f t="shared" si="192"/>
        <v>601</v>
      </c>
      <c r="AC95" s="4">
        <f t="shared" si="87"/>
        <v>706</v>
      </c>
      <c r="AD95" s="4">
        <f>((15*(Y95^0.8)*AB95^0.9)/1000)*$AE$10/$AE$9</f>
        <v>32.362383607364499</v>
      </c>
      <c r="AE95" s="25">
        <f>((15*(Y95^0.8)*AC95^0.9)/1000)*$AE$10/$AE$9</f>
        <v>37.409138564065508</v>
      </c>
      <c r="AF95" s="39">
        <f>MAX(14*Y95,150)</f>
        <v>224</v>
      </c>
      <c r="AG95" s="15">
        <f>MAX(9*Y95,100)</f>
        <v>144</v>
      </c>
      <c r="AH95" s="42">
        <f>VLOOKUP(W95,$E$11:$I$14,4,FALSE)</f>
        <v>9</v>
      </c>
      <c r="AI95" s="4">
        <f>((Y95*PI())*AF95)*(AH95*$AE$18/$AE$17)/1000</f>
        <v>57.423287159375668</v>
      </c>
      <c r="AJ95" s="25">
        <f>((Y95*PI())*AG95)*(AH95*$AE$18/$AE$17)/1000</f>
        <v>36.914970316741503</v>
      </c>
      <c r="AK95" s="4"/>
      <c r="AL95" s="4">
        <f t="shared" si="27"/>
        <v>32.362383607364499</v>
      </c>
      <c r="AM95" t="str">
        <f t="shared" si="28"/>
        <v>LEGNO</v>
      </c>
      <c r="AN95" s="4">
        <f t="shared" si="29"/>
        <v>36.914970316741503</v>
      </c>
      <c r="AO95" t="str">
        <f t="shared" si="30"/>
        <v>CALCESTRUZZO</v>
      </c>
      <c r="AR95" s="4">
        <f t="shared" si="193"/>
        <v>43.689217869942077</v>
      </c>
      <c r="AS95" t="str">
        <f t="shared" si="194"/>
        <v>LEGNO</v>
      </c>
      <c r="AT95" s="4">
        <f t="shared" si="195"/>
        <v>50.50233706148844</v>
      </c>
      <c r="AU95" t="str">
        <f t="shared" si="196"/>
        <v>LEGNO</v>
      </c>
      <c r="AX95" s="4">
        <f t="shared" si="197"/>
        <v>65.533826804913105</v>
      </c>
      <c r="AY95" t="str">
        <f t="shared" si="198"/>
        <v>LEGNO</v>
      </c>
      <c r="AZ95" s="4">
        <f t="shared" si="199"/>
        <v>65.144065264837948</v>
      </c>
      <c r="BA95" t="str">
        <f t="shared" si="200"/>
        <v xml:space="preserve"> CALCESTRUZZO</v>
      </c>
    </row>
    <row r="96" spans="23:53" ht="15" hidden="1" customHeight="1">
      <c r="W96" t="str">
        <f t="shared" si="190"/>
        <v>RTR_16</v>
      </c>
      <c r="X96" t="str">
        <f t="shared" ref="X96:X97" si="225">_xlfn.CONCAT(W96,"_",Z96)</f>
        <v>RTR_16_900</v>
      </c>
      <c r="Y96" t="str">
        <f t="shared" si="224"/>
        <v>16</v>
      </c>
      <c r="Z96">
        <f t="shared" si="223"/>
        <v>900</v>
      </c>
      <c r="AA96">
        <f t="shared" si="191"/>
        <v>80</v>
      </c>
      <c r="AB96" s="22">
        <f t="shared" ref="AB96:AB97" si="226">Z96-AF96-25</f>
        <v>651</v>
      </c>
      <c r="AC96" s="4">
        <f t="shared" ref="AC96:AC97" si="227">Z96-AG96</f>
        <v>756</v>
      </c>
      <c r="AD96" s="4">
        <f t="shared" ref="AD96:AD97" si="228">((15*(Y96^0.8)*AB96^0.9)/1000)*$AE$10/$AE$9</f>
        <v>34.775738894522689</v>
      </c>
      <c r="AE96" s="25">
        <f t="shared" ref="AE96:AE97" si="229">((15*(Y96^0.8)*AC96^0.9)/1000)*$AE$10/$AE$9</f>
        <v>39.785341722536607</v>
      </c>
      <c r="AF96" s="39">
        <f t="shared" ref="AF96:AF97" si="230">MAX(14*Y96,150)</f>
        <v>224</v>
      </c>
      <c r="AG96" s="15">
        <f t="shared" ref="AG96:AG97" si="231">MAX(9*Y96,100)</f>
        <v>144</v>
      </c>
      <c r="AH96" s="42">
        <f t="shared" ref="AH96:AH97" si="232">VLOOKUP(W96,$E$11:$I$14,4,FALSE)</f>
        <v>9</v>
      </c>
      <c r="AI96" s="4">
        <f t="shared" ref="AI96:AI97" si="233">((Y96*PI())*AF96)*(AH96*$AE$18/$AE$17)/1000</f>
        <v>57.423287159375668</v>
      </c>
      <c r="AJ96" s="25">
        <f t="shared" ref="AJ96:AJ97" si="234">((Y96*PI())*AG96)*(AH96*$AE$18/$AE$17)/1000</f>
        <v>36.914970316741503</v>
      </c>
      <c r="AK96" s="4"/>
      <c r="AL96" s="4">
        <f t="shared" ref="AL96:AL97" si="235">MIN(AA96,AD96,AI96)</f>
        <v>34.775738894522689</v>
      </c>
      <c r="AM96" t="str">
        <f t="shared" ref="AM96:AM97" si="236">IF(AL96=AA96,"ACCIAIO",IF(AL96=AD96,"LEGNO",IF(AL96=AI96," CALCESTRUZZO")))</f>
        <v>LEGNO</v>
      </c>
      <c r="AN96" s="4">
        <f t="shared" ref="AN96:AN97" si="237">MIN(AA96,AE96,AJ96)</f>
        <v>36.914970316741503</v>
      </c>
      <c r="AO96" t="str">
        <f t="shared" ref="AO96:AO97" si="238">IF(AN96=AA96,"ACCIAIO",IF(AN96=AE96,"LEGNO",IF(AN96=AJ96,"CALCESTRUZZO")))</f>
        <v>CALCESTRUZZO</v>
      </c>
      <c r="AR96" s="4">
        <f t="shared" ref="AR96:AR97" si="239">MIN(AA96*$AE$14,AD96*$AE$9/$AE$10,AI96*$AE$17/$AE$18)</f>
        <v>46.947247507605631</v>
      </c>
      <c r="AS96" t="str">
        <f t="shared" ref="AS96:AS97" si="240">IF(AR96=AA96*$AE$14,"ACCIAIO",IF(AR96=AD96*$AE$9/$AE$10,"LEGNO",IF(AR96=AI96*$AE$17/$AE$18," CALCESTRUZZO")))</f>
        <v>LEGNO</v>
      </c>
      <c r="AT96" s="4">
        <f t="shared" ref="AT96:AT97" si="241">MIN(AA96*$AE$14,AE96*$AE$9/$AE$10,AJ96*$AE$17/$AE$18)</f>
        <v>53.710211325424424</v>
      </c>
      <c r="AU96" t="str">
        <f t="shared" ref="AU96:AU97" si="242">IF(AT96=AA96*$AE$14,"ACCIAIO",IF(AT96=AE96*$AE$9/$AE$10,"LEGNO",IF(AT96=AJ96*$AE$17/$AE$18," CALCESTRUZZO")))</f>
        <v>LEGNO</v>
      </c>
      <c r="AX96" s="4">
        <f t="shared" ref="AX96:AX97" si="243">MIN(AA96*$AE$14,$AZ$18*AD96*$AE$9/$AE$10,AI96*$AE$17/$AE$18)</f>
        <v>70.42087126140845</v>
      </c>
      <c r="AY96" t="str">
        <f t="shared" ref="AY96:AY97" si="244">IF(AX96=AA96*$AE$14,"ACCIAIO",IF(AX96=$AZ$18*AD96*$AE$9/$AE$10,"LEGNO",IF(AX96=AI96*$AE$17/$AE$18," CALCESTRUZZO")))</f>
        <v>LEGNO</v>
      </c>
      <c r="AZ96" s="4">
        <f t="shared" ref="AZ96:AZ97" si="245">MIN(AA96*$AE$14,$AZ$18*AE96*$AE$9/$AE$10,AJ96*$AE$17/$AE$18)</f>
        <v>65.144065264837948</v>
      </c>
      <c r="BA96" t="str">
        <f t="shared" ref="BA96:BA97" si="246">IF(AZ96=AA96*$AE$14,"ACCIAIO",IF(AZ96=$AZ$18*AE96*$AE$9/$AE$10,"LEGNO",IF(AZ96=AJ96*$AE$17/$AE$18," CALCESTRUZZO")))</f>
        <v xml:space="preserve"> CALCESTRUZZO</v>
      </c>
    </row>
    <row r="97" spans="23:53" ht="15" hidden="1" customHeight="1">
      <c r="W97" t="str">
        <f t="shared" si="190"/>
        <v>RTR_16</v>
      </c>
      <c r="X97" t="str">
        <f t="shared" si="225"/>
        <v>RTR_16_950</v>
      </c>
      <c r="Y97" t="str">
        <f t="shared" si="224"/>
        <v>16</v>
      </c>
      <c r="Z97">
        <f t="shared" si="223"/>
        <v>950</v>
      </c>
      <c r="AA97">
        <f t="shared" si="191"/>
        <v>80</v>
      </c>
      <c r="AB97" s="22">
        <f t="shared" si="226"/>
        <v>701</v>
      </c>
      <c r="AC97" s="4">
        <f t="shared" si="227"/>
        <v>806</v>
      </c>
      <c r="AD97" s="4">
        <f t="shared" si="228"/>
        <v>37.170610391554582</v>
      </c>
      <c r="AE97" s="25">
        <f t="shared" si="229"/>
        <v>42.145869134449946</v>
      </c>
      <c r="AF97" s="39">
        <f t="shared" si="230"/>
        <v>224</v>
      </c>
      <c r="AG97" s="15">
        <f t="shared" si="231"/>
        <v>144</v>
      </c>
      <c r="AH97" s="42">
        <f t="shared" si="232"/>
        <v>9</v>
      </c>
      <c r="AI97" s="4">
        <f t="shared" si="233"/>
        <v>57.423287159375668</v>
      </c>
      <c r="AJ97" s="25">
        <f t="shared" si="234"/>
        <v>36.914970316741503</v>
      </c>
      <c r="AK97" s="4"/>
      <c r="AL97" s="4">
        <f t="shared" si="235"/>
        <v>37.170610391554582</v>
      </c>
      <c r="AM97" t="str">
        <f t="shared" si="236"/>
        <v>LEGNO</v>
      </c>
      <c r="AN97" s="4">
        <f t="shared" si="237"/>
        <v>36.914970316741503</v>
      </c>
      <c r="AO97" t="str">
        <f t="shared" si="238"/>
        <v>CALCESTRUZZO</v>
      </c>
      <c r="AR97" s="4">
        <f t="shared" si="239"/>
        <v>50.18032402859869</v>
      </c>
      <c r="AS97" t="str">
        <f t="shared" si="240"/>
        <v>LEGNO</v>
      </c>
      <c r="AT97" s="4">
        <f t="shared" si="241"/>
        <v>56.896923331507431</v>
      </c>
      <c r="AU97" t="str">
        <f t="shared" si="242"/>
        <v>LEGNO</v>
      </c>
      <c r="AX97" s="4">
        <f t="shared" si="243"/>
        <v>75.270486042898028</v>
      </c>
      <c r="AY97" t="str">
        <f t="shared" si="244"/>
        <v>LEGNO</v>
      </c>
      <c r="AZ97" s="4">
        <f t="shared" si="245"/>
        <v>65.144065264837948</v>
      </c>
      <c r="BA97" t="str">
        <f t="shared" si="246"/>
        <v xml:space="preserve"> CALCESTRUZZO</v>
      </c>
    </row>
    <row r="98" spans="23:53" ht="15" hidden="1" customHeight="1" thickBot="1">
      <c r="W98" t="str">
        <f t="shared" si="190"/>
        <v>RTR_16</v>
      </c>
      <c r="X98" t="str">
        <f>_xlfn.CONCAT(W98,"_",Z98)</f>
        <v>RTR_16_1000</v>
      </c>
      <c r="Y98" t="str">
        <f t="shared" si="224"/>
        <v>16</v>
      </c>
      <c r="Z98">
        <f t="shared" si="223"/>
        <v>1000</v>
      </c>
      <c r="AA98">
        <f t="shared" si="191"/>
        <v>80</v>
      </c>
      <c r="AB98" s="23">
        <f t="shared" si="192"/>
        <v>751</v>
      </c>
      <c r="AC98" s="24">
        <f>Z98-AG98</f>
        <v>856</v>
      </c>
      <c r="AD98" s="24">
        <f>((15*(Y98^0.8)*AB98^0.9)/1000)*$AE$10/$AE$9</f>
        <v>39.548445709040841</v>
      </c>
      <c r="AE98" s="26">
        <f>((15*(Y98^0.8)*AC98^0.9)/1000)*$AE$10/$AE$9</f>
        <v>44.491788586057048</v>
      </c>
      <c r="AF98" s="40">
        <f>MAX(14*Y98,150)</f>
        <v>224</v>
      </c>
      <c r="AG98" s="41">
        <f>MAX(9*Y98,100)</f>
        <v>144</v>
      </c>
      <c r="AH98" s="43">
        <f>VLOOKUP(W98,$E$11:$I$14,4,FALSE)</f>
        <v>9</v>
      </c>
      <c r="AI98" s="24">
        <f>((Y98*PI())*AF98)*(AH98*$AE$18/$AE$17)/1000</f>
        <v>57.423287159375668</v>
      </c>
      <c r="AJ98" s="26">
        <f>((Y98*PI())*AG98)*(AH98*$AE$18/$AE$17)/1000</f>
        <v>36.914970316741503</v>
      </c>
      <c r="AK98" s="4"/>
      <c r="AL98" s="4">
        <f>MIN(AA98,AD98,AI98)</f>
        <v>39.548445709040841</v>
      </c>
      <c r="AM98" t="str">
        <f t="shared" si="28"/>
        <v>LEGNO</v>
      </c>
      <c r="AN98" s="4">
        <f t="shared" si="29"/>
        <v>36.914970316741503</v>
      </c>
      <c r="AO98" t="str">
        <f t="shared" si="30"/>
        <v>CALCESTRUZZO</v>
      </c>
      <c r="AR98" s="4">
        <f t="shared" si="193"/>
        <v>53.390401707205136</v>
      </c>
      <c r="AS98" t="str">
        <f t="shared" si="194"/>
        <v>LEGNO</v>
      </c>
      <c r="AT98" s="4">
        <f t="shared" si="195"/>
        <v>60.063914591177017</v>
      </c>
      <c r="AU98" t="str">
        <f t="shared" si="196"/>
        <v>LEGNO</v>
      </c>
      <c r="AX98" s="4">
        <f t="shared" si="197"/>
        <v>80.085602560807715</v>
      </c>
      <c r="AY98" t="str">
        <f t="shared" si="198"/>
        <v>LEGNO</v>
      </c>
      <c r="AZ98" s="4">
        <f t="shared" si="199"/>
        <v>65.144065264837948</v>
      </c>
      <c r="BA98" t="str">
        <f t="shared" si="200"/>
        <v xml:space="preserve"> CALCESTRUZZO</v>
      </c>
    </row>
  </sheetData>
  <sheetProtection algorithmName="SHA-512" hashValue="HSCkV+xoqbEFqil310jatPY2K93D9zvlDbZ/W5Fu+SVireVxCw7rL6w2Svz2IlkD6RWp/a43dCeS4Ny1sJjbJQ==" saltValue="aNvd6H7rXIiTsBfBY+k51A==" spinCount="100000" sheet="1" objects="1" scenarios="1" selectLockedCells="1"/>
  <mergeCells count="6">
    <mergeCell ref="B4:B5"/>
    <mergeCell ref="C52:E52"/>
    <mergeCell ref="G37:K38"/>
    <mergeCell ref="B37:F38"/>
    <mergeCell ref="B25:F26"/>
    <mergeCell ref="G25:K26"/>
  </mergeCells>
  <conditionalFormatting sqref="AL28:AP98 AR28:AU98 AY28:AY98 BA28:BA98">
    <cfRule type="containsText" dxfId="2" priority="10" operator="containsText" text="CALCESTRUZZO">
      <formula>NOT(ISERROR(SEARCH("CALCESTRUZZO",AL28)))</formula>
    </cfRule>
    <cfRule type="containsText" dxfId="1" priority="11" operator="containsText" text="ACCIAIO">
      <formula>NOT(ISERROR(SEARCH("ACCIAIO",AL28)))</formula>
    </cfRule>
    <cfRule type="containsText" dxfId="0" priority="12" operator="containsText" text="LEGNO">
      <formula>NOT(ISERROR(SEARCH("LEGNO",AL28)))</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D5791BAE553E54299A2D7AB66547121" ma:contentTypeVersion="23" ma:contentTypeDescription="Ein neues Dokument erstellen." ma:contentTypeScope="" ma:versionID="5ad2bdac217144f6ec0fe70264fbf569">
  <xsd:schema xmlns:xsd="http://www.w3.org/2001/XMLSchema" xmlns:xs="http://www.w3.org/2001/XMLSchema" xmlns:p="http://schemas.microsoft.com/office/2006/metadata/properties" xmlns:ns2="4ac9669e-3ecc-4027-9c07-5729b88496eb" xmlns:ns3="f71a907e-b217-416b-8f3e-9f31b26bbae2" targetNamespace="http://schemas.microsoft.com/office/2006/metadata/properties" ma:root="true" ma:fieldsID="504a01d345486671ebc83d5e27e132d7" ns2:_="" ns3:_="">
    <xsd:import namespace="4ac9669e-3ecc-4027-9c07-5729b88496eb"/>
    <xsd:import namespace="f71a907e-b217-416b-8f3e-9f31b26bbae2"/>
    <xsd:element name="properties">
      <xsd:complexType>
        <xsd:sequence>
          <xsd:element name="documentManagement">
            <xsd:complexType>
              <xsd:all>
                <xsd:element ref="ns2:SharedWithDetails" minOccurs="0"/>
                <xsd:element ref="ns2:SharedWithUser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Availability" minOccurs="0"/>
                <xsd:element ref="ns3:_Flow_SignoffStatus" minOccurs="0"/>
                <xsd:element ref="ns3:MediaServiceSearchProperties" minOccurs="0"/>
                <xsd:element ref="ns3:Fas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9669e-3ecc-4027-9c07-5729b88496eb" elementFormDefault="qualified">
    <xsd:import namespace="http://schemas.microsoft.com/office/2006/documentManagement/types"/>
    <xsd:import namespace="http://schemas.microsoft.com/office/infopath/2007/PartnerControls"/>
    <xsd:element name="SharedWithDetails" ma:index="8" nillable="true" ma:displayName="Freigegeben für - Details" ma:internalName="SharedWithDetails" ma:readOnly="true">
      <xsd:simpleType>
        <xsd:restriction base="dms:Note">
          <xsd:maxLength value="255"/>
        </xsd:restriction>
      </xsd:simpleType>
    </xsd:element>
    <xsd:element name="SharedWithUsers" ma:index="9"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3" nillable="true" ma:displayName="Taxonomy Catch All Column" ma:hidden="true" ma:list="{e8fe4e58-ca6d-4368-9ea0-f36a7ff00c10}" ma:internalName="TaxCatchAll" ma:showField="CatchAllData" ma:web="4ac9669e-3ecc-4027-9c07-5729b88496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1a907e-b217-416b-8f3e-9f31b26bbae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9108ccb5-cea6-4716-bdbd-2f7028708f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Availability" ma:index="25" nillable="true" ma:displayName="Availability" ma:description="versions &amp; edits" ma:format="Dropdown" ma:internalName="Availability">
      <xsd:simpleType>
        <xsd:restriction base="dms:Choice">
          <xsd:enumeration value="S1"/>
          <xsd:enumeration value="S2"/>
          <xsd:enumeration value="S3"/>
          <xsd:enumeration value="S4"/>
        </xsd:restriction>
      </xsd:simple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Fase" ma:index="28" nillable="true" ma:displayName="Fase" ma:default="Preparazione" ma:format="Dropdown" ma:internalName="Fase">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CDC"/>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71a907e-b217-416b-8f3e-9f31b26bbae2" xsi:nil="true"/>
    <Fase xmlns="f71a907e-b217-416b-8f3e-9f31b26bbae2">Preparazione</Fase>
    <lcf76f155ced4ddcb4097134ff3c332f xmlns="f71a907e-b217-416b-8f3e-9f31b26bbae2">
      <Terms xmlns="http://schemas.microsoft.com/office/infopath/2007/PartnerControls"/>
    </lcf76f155ced4ddcb4097134ff3c332f>
    <TaxCatchAll xmlns="4ac9669e-3ecc-4027-9c07-5729b88496eb" xsi:nil="true"/>
    <Availability xmlns="f71a907e-b217-416b-8f3e-9f31b26bbae2" xsi:nil="true"/>
  </documentManagement>
</p:properties>
</file>

<file path=customXml/itemProps1.xml><?xml version="1.0" encoding="utf-8"?>
<ds:datastoreItem xmlns:ds="http://schemas.openxmlformats.org/officeDocument/2006/customXml" ds:itemID="{E544F5A1-8D22-4C23-B4DE-372356CB0C2D}">
  <ds:schemaRefs>
    <ds:schemaRef ds:uri="http://schemas.microsoft.com/sharepoint/v3/contenttype/forms"/>
  </ds:schemaRefs>
</ds:datastoreItem>
</file>

<file path=customXml/itemProps2.xml><?xml version="1.0" encoding="utf-8"?>
<ds:datastoreItem xmlns:ds="http://schemas.openxmlformats.org/officeDocument/2006/customXml" ds:itemID="{48E1CA42-24FB-4F76-A34D-D33E7955E7F9}"/>
</file>

<file path=customXml/itemProps3.xml><?xml version="1.0" encoding="utf-8"?>
<ds:datastoreItem xmlns:ds="http://schemas.openxmlformats.org/officeDocument/2006/customXml" ds:itemID="{73AE6C08-EAAC-435D-840E-73B6DE56AA5D}">
  <ds:schemaRefs>
    <ds:schemaRef ds:uri="http://purl.org/dc/dcmitype/"/>
    <ds:schemaRef ds:uri="http://purl.org/dc/terms/"/>
    <ds:schemaRef ds:uri="f71a907e-b217-416b-8f3e-9f31b26bbae2"/>
    <ds:schemaRef ds:uri="http://schemas.microsoft.com/office/2006/metadata/properties"/>
    <ds:schemaRef ds:uri="http://schemas.openxmlformats.org/package/2006/metadata/core-properties"/>
    <ds:schemaRef ds:uri="4ac9669e-3ecc-4027-9c07-5729b88496eb"/>
    <ds:schemaRef ds:uri="http://purl.org/dc/elements/1.1/"/>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13</vt:i4>
      </vt:variant>
    </vt:vector>
  </HeadingPairs>
  <TitlesOfParts>
    <vt:vector size="24" baseType="lpstr">
      <vt:lpstr>ShortReport</vt:lpstr>
      <vt:lpstr>CompleteReport</vt:lpstr>
      <vt:lpstr>CONDITIONS</vt:lpstr>
      <vt:lpstr>GEOMETRY</vt:lpstr>
      <vt:lpstr>CALCOLI STS (slab to slab)</vt:lpstr>
      <vt:lpstr>CLT EDGE DISTANCE</vt:lpstr>
      <vt:lpstr>CONCRETE</vt:lpstr>
      <vt:lpstr>CLT</vt:lpstr>
      <vt:lpstr>SCREWS</vt:lpstr>
      <vt:lpstr>traduzioni</vt:lpstr>
      <vt:lpstr>Foglio1</vt:lpstr>
      <vt:lpstr>CompleteReport!Druckbereich</vt:lpstr>
      <vt:lpstr>GEOMETRY!Druckbereich</vt:lpstr>
      <vt:lpstr>ShortReport!Druckbereich</vt:lpstr>
      <vt:lpstr>L_11</vt:lpstr>
      <vt:lpstr>L_5</vt:lpstr>
      <vt:lpstr>L_7</vt:lpstr>
      <vt:lpstr>L_9</vt:lpstr>
      <vt:lpstr>LAYER</vt:lpstr>
      <vt:lpstr>RTR_16</vt:lpstr>
      <vt:lpstr>SCREWS</vt:lpstr>
      <vt:lpstr>VGS_11</vt:lpstr>
      <vt:lpstr>VGS_13</vt:lpstr>
      <vt:lpstr>VGS_9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Grossi</dc:creator>
  <cp:lastModifiedBy>Hannes Spitaler</cp:lastModifiedBy>
  <cp:lastPrinted>2024-09-09T14:56:49Z</cp:lastPrinted>
  <dcterms:created xsi:type="dcterms:W3CDTF">2022-11-03T08:03:36Z</dcterms:created>
  <dcterms:modified xsi:type="dcterms:W3CDTF">2026-06-29T16:00:44Z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0x0101003D5791BAE553E54299A2D7AB66547121</vt:lpwstr>
  </property>
  <property fmtid="{D5CDD505-2E9C-101B-9397-08002B2CF9AE}" pid="3" name="MediaServiceImageTags">
    <vt:lpwstr/>
  </property>
</Properties>
</file>